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lgadigital.sharepoint.com/sites/CareandHealthImprovement/Data and Information/_Data &amp; Intelligence projects/ASC narrative/Infographics/"/>
    </mc:Choice>
  </mc:AlternateContent>
  <xr:revisionPtr revIDLastSave="7549" documentId="8_{0712FCB4-DC58-4E2A-A7AB-30DAA90135F3}" xr6:coauthVersionLast="47" xr6:coauthVersionMax="47" xr10:uidLastSave="{223789A3-79B7-459F-8D7A-45374C898FC8}"/>
  <bookViews>
    <workbookView xWindow="28680" yWindow="-120" windowWidth="29040" windowHeight="15720" tabRatio="845" activeTab="1" xr2:uid="{1F05FC91-7A98-4676-A0F2-F6230AF58AC1}"/>
  </bookViews>
  <sheets>
    <sheet name="Title Page" sheetId="9" r:id="rId1"/>
    <sheet name="Output" sheetId="18" r:id="rId2"/>
    <sheet name="Audit" sheetId="23" r:id="rId3"/>
    <sheet name="Version History" sheetId="21" r:id="rId4"/>
    <sheet name="PROCESSING -&gt;" sheetId="19" r:id="rId5"/>
    <sheet name="Need" sheetId="1" r:id="rId6"/>
    <sheet name="Care Users" sheetId="6" r:id="rId7"/>
    <sheet name="Finance" sheetId="3" r:id="rId8"/>
    <sheet name="Workforce" sheetId="4" r:id="rId9"/>
    <sheet name="Outcomes" sheetId="7" r:id="rId10"/>
    <sheet name="DATA -&gt;" sheetId="8" r:id="rId11"/>
    <sheet name="Datasheet" sheetId="20" r:id="rId12"/>
    <sheet name="Calculations" sheetId="11" r:id="rId13"/>
    <sheet name="Sources" sheetId="22" r:id="rId14"/>
    <sheet name="Colour Scheme" sheetId="12" r:id="rId15"/>
  </sheets>
  <definedNames>
    <definedName name="_xlnm._FilterDatabase" localSheetId="12" hidden="1">Datasheet!$A$1:$K$1</definedName>
    <definedName name="_xlnm.Print_Area" localSheetId="7">Finance!$A$1:$AG$11</definedName>
    <definedName name="_xlnm.Print_Area" localSheetId="1">Output!$A$1:$T$145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4" l="1"/>
  <c r="A12" i="6"/>
  <c r="A11" i="1"/>
  <c r="G11" i="1"/>
  <c r="F11" i="1"/>
  <c r="E11" i="1"/>
  <c r="AN160" i="11"/>
  <c r="AN161" i="11"/>
  <c r="AN162" i="11"/>
  <c r="AN163" i="11"/>
  <c r="AN164" i="11"/>
  <c r="AN165" i="11"/>
  <c r="AN166" i="11"/>
  <c r="AN167" i="11"/>
  <c r="AN168" i="11"/>
  <c r="AN169" i="11"/>
  <c r="AN8" i="11"/>
  <c r="AN9" i="11"/>
  <c r="AN10" i="11"/>
  <c r="AN11" i="11"/>
  <c r="AN12" i="11"/>
  <c r="AN13" i="11"/>
  <c r="AN14" i="11"/>
  <c r="AN15" i="11"/>
  <c r="AN16" i="11"/>
  <c r="AN17" i="11"/>
  <c r="AN18" i="11"/>
  <c r="AN19" i="11"/>
  <c r="AN20" i="11"/>
  <c r="AN21" i="11"/>
  <c r="AN22" i="11"/>
  <c r="AN23" i="11"/>
  <c r="AN24" i="11"/>
  <c r="AN25" i="11"/>
  <c r="AN26" i="11"/>
  <c r="AN27" i="11"/>
  <c r="AN28" i="11"/>
  <c r="AN29" i="11"/>
  <c r="AN30" i="11"/>
  <c r="AN31" i="11"/>
  <c r="AN32" i="11"/>
  <c r="AN33" i="11"/>
  <c r="AN34" i="11"/>
  <c r="AN35" i="11"/>
  <c r="AN36" i="11"/>
  <c r="AN37" i="11"/>
  <c r="AN38" i="11"/>
  <c r="AN39" i="11"/>
  <c r="AN40" i="11"/>
  <c r="AN41" i="11"/>
  <c r="AN42" i="11"/>
  <c r="AN43" i="11"/>
  <c r="AN44" i="11"/>
  <c r="AN45" i="11"/>
  <c r="AN46" i="11"/>
  <c r="AN47" i="11"/>
  <c r="AN48" i="11"/>
  <c r="AN49" i="11"/>
  <c r="AN50" i="11"/>
  <c r="AN51" i="11"/>
  <c r="AN52" i="11"/>
  <c r="AN53" i="11"/>
  <c r="AN54" i="11"/>
  <c r="AN55" i="11"/>
  <c r="AN56" i="11"/>
  <c r="AN57" i="11"/>
  <c r="AN58" i="11"/>
  <c r="AN59" i="11"/>
  <c r="AN60" i="11"/>
  <c r="AN61" i="11"/>
  <c r="AN62" i="11"/>
  <c r="AN63" i="11"/>
  <c r="AN64" i="11"/>
  <c r="AN65" i="11"/>
  <c r="AN66" i="11"/>
  <c r="AN67" i="11"/>
  <c r="AN68" i="11"/>
  <c r="AN69" i="11"/>
  <c r="AN70" i="11"/>
  <c r="AN71" i="11"/>
  <c r="AN72" i="11"/>
  <c r="AN73" i="11"/>
  <c r="AN74" i="11"/>
  <c r="AN75" i="11"/>
  <c r="AN76" i="11"/>
  <c r="AN77" i="11"/>
  <c r="AN78" i="11"/>
  <c r="AN79" i="11"/>
  <c r="AN80" i="11"/>
  <c r="AN81" i="11"/>
  <c r="AN82" i="11"/>
  <c r="AN83" i="11"/>
  <c r="AN84" i="11"/>
  <c r="AN85" i="11"/>
  <c r="AN86" i="11"/>
  <c r="AN87" i="11"/>
  <c r="AN88" i="11"/>
  <c r="AN89" i="11"/>
  <c r="AN90" i="11"/>
  <c r="AN91" i="11"/>
  <c r="AN92" i="11"/>
  <c r="AN93" i="11"/>
  <c r="AN94" i="11"/>
  <c r="AN95" i="11"/>
  <c r="AN96" i="11"/>
  <c r="AN97" i="11"/>
  <c r="AN98" i="11"/>
  <c r="AN99" i="11"/>
  <c r="AN100" i="11"/>
  <c r="AN101" i="11"/>
  <c r="AN102" i="11"/>
  <c r="AN103" i="11"/>
  <c r="AN104" i="11"/>
  <c r="AN105" i="11"/>
  <c r="AN106" i="11"/>
  <c r="AN107" i="11"/>
  <c r="AN108" i="11"/>
  <c r="AN109" i="11"/>
  <c r="AN110" i="11"/>
  <c r="AN111" i="11"/>
  <c r="AN112" i="11"/>
  <c r="AN113" i="11"/>
  <c r="AN114" i="11"/>
  <c r="AN115" i="11"/>
  <c r="AN116" i="11"/>
  <c r="AN117" i="11"/>
  <c r="AN118" i="11"/>
  <c r="AN119" i="11"/>
  <c r="AN120" i="11"/>
  <c r="AN121" i="11"/>
  <c r="AN122" i="11"/>
  <c r="AN123" i="11"/>
  <c r="AN124" i="11"/>
  <c r="AN125" i="11"/>
  <c r="AN126" i="11"/>
  <c r="AN127" i="11"/>
  <c r="AN128" i="11"/>
  <c r="AN129" i="11"/>
  <c r="AN130" i="11"/>
  <c r="AN131" i="11"/>
  <c r="AN132" i="11"/>
  <c r="AN133" i="11"/>
  <c r="AN134" i="11"/>
  <c r="AN135" i="11"/>
  <c r="AN136" i="11"/>
  <c r="AN137" i="11"/>
  <c r="AN138" i="11"/>
  <c r="AN139" i="11"/>
  <c r="AN140" i="11"/>
  <c r="AN141" i="11"/>
  <c r="AN142" i="11"/>
  <c r="AN143" i="11"/>
  <c r="AN144" i="11"/>
  <c r="AN145" i="11"/>
  <c r="AN146" i="11"/>
  <c r="AN147" i="11"/>
  <c r="AN148" i="11"/>
  <c r="AN149" i="11"/>
  <c r="AN150" i="11"/>
  <c r="AN151" i="11"/>
  <c r="AN152" i="11"/>
  <c r="AN153" i="11"/>
  <c r="AN154" i="11"/>
  <c r="AN155" i="11"/>
  <c r="AN156" i="11"/>
  <c r="AN157" i="11"/>
  <c r="AN158" i="11"/>
  <c r="AN159" i="11"/>
  <c r="AN7" i="11"/>
  <c r="AG160" i="11"/>
  <c r="AG161" i="11"/>
  <c r="AG162" i="11"/>
  <c r="AG163" i="11"/>
  <c r="AG164" i="11"/>
  <c r="AG165" i="11"/>
  <c r="AG166" i="11"/>
  <c r="AG167" i="11"/>
  <c r="AG168" i="11"/>
  <c r="AG169" i="11"/>
  <c r="AG8" i="11"/>
  <c r="AG9" i="11"/>
  <c r="AG10" i="11"/>
  <c r="AG11" i="11"/>
  <c r="AG12" i="11"/>
  <c r="AG13" i="11"/>
  <c r="AG14" i="11"/>
  <c r="AG15" i="11"/>
  <c r="AG16" i="11"/>
  <c r="AG17" i="11"/>
  <c r="AG18" i="11"/>
  <c r="AG19" i="11"/>
  <c r="AG20" i="11"/>
  <c r="AG21" i="11"/>
  <c r="AG22" i="11"/>
  <c r="AG23" i="11"/>
  <c r="AG24" i="11"/>
  <c r="AG25" i="11"/>
  <c r="AG26" i="11"/>
  <c r="AG27" i="11"/>
  <c r="AG28" i="11"/>
  <c r="AG29" i="11"/>
  <c r="AG30" i="11"/>
  <c r="AG31" i="11"/>
  <c r="AG32" i="11"/>
  <c r="AG33" i="11"/>
  <c r="AG34" i="11"/>
  <c r="AG35" i="11"/>
  <c r="AG36" i="11"/>
  <c r="AG37" i="11"/>
  <c r="AG38" i="11"/>
  <c r="AG39" i="11"/>
  <c r="AG40" i="11"/>
  <c r="AG41" i="11"/>
  <c r="AG42" i="11"/>
  <c r="AG43" i="11"/>
  <c r="AG44" i="11"/>
  <c r="AG45" i="11"/>
  <c r="AG46" i="11"/>
  <c r="AG47" i="11"/>
  <c r="AG48" i="11"/>
  <c r="AG49" i="11"/>
  <c r="AG50" i="11"/>
  <c r="AG51" i="11"/>
  <c r="AG52" i="11"/>
  <c r="AG53" i="11"/>
  <c r="AG54" i="11"/>
  <c r="AG55" i="11"/>
  <c r="AG56" i="11"/>
  <c r="AG57" i="11"/>
  <c r="AG58" i="11"/>
  <c r="AG59" i="11"/>
  <c r="AG60" i="11"/>
  <c r="AG61" i="11"/>
  <c r="AG62" i="11"/>
  <c r="AG63" i="11"/>
  <c r="AG64" i="11"/>
  <c r="AG65" i="11"/>
  <c r="AG66" i="11"/>
  <c r="AG67" i="11"/>
  <c r="AG68" i="11"/>
  <c r="AG69" i="11"/>
  <c r="AG70" i="11"/>
  <c r="AG71" i="11"/>
  <c r="AG72" i="11"/>
  <c r="AG73" i="11"/>
  <c r="AG74" i="11"/>
  <c r="AG75" i="11"/>
  <c r="AG76" i="11"/>
  <c r="AG77" i="11"/>
  <c r="AG78" i="11"/>
  <c r="AG79" i="11"/>
  <c r="AG80" i="11"/>
  <c r="AG81" i="11"/>
  <c r="AG82" i="11"/>
  <c r="AG83" i="11"/>
  <c r="AG84" i="11"/>
  <c r="AG85" i="11"/>
  <c r="AG86" i="11"/>
  <c r="AG87" i="11"/>
  <c r="AG88" i="11"/>
  <c r="AG89" i="11"/>
  <c r="AG90" i="11"/>
  <c r="AG91" i="11"/>
  <c r="AG92" i="11"/>
  <c r="AG93" i="11"/>
  <c r="AG94" i="11"/>
  <c r="AG95" i="11"/>
  <c r="AG96" i="11"/>
  <c r="AG97" i="11"/>
  <c r="AG98" i="11"/>
  <c r="AG99" i="11"/>
  <c r="AG100" i="11"/>
  <c r="AG101" i="11"/>
  <c r="AG102" i="11"/>
  <c r="AG103" i="11"/>
  <c r="AG104" i="11"/>
  <c r="AG105" i="11"/>
  <c r="AG106" i="11"/>
  <c r="AG107" i="11"/>
  <c r="AG108" i="11"/>
  <c r="AG109" i="11"/>
  <c r="AG110" i="11"/>
  <c r="AG111" i="11"/>
  <c r="AG112" i="11"/>
  <c r="AG113" i="11"/>
  <c r="AG114" i="11"/>
  <c r="AG115" i="11"/>
  <c r="AG116" i="11"/>
  <c r="AG117" i="11"/>
  <c r="AG118" i="11"/>
  <c r="AG119" i="11"/>
  <c r="AG120" i="11"/>
  <c r="AG121" i="11"/>
  <c r="AG122" i="11"/>
  <c r="AG123" i="11"/>
  <c r="AG124" i="11"/>
  <c r="AG125" i="11"/>
  <c r="AG126" i="11"/>
  <c r="AG127" i="11"/>
  <c r="AG128" i="11"/>
  <c r="AG129" i="11"/>
  <c r="AG130" i="11"/>
  <c r="AG131" i="11"/>
  <c r="AG132" i="11"/>
  <c r="AG133" i="11"/>
  <c r="AG134" i="11"/>
  <c r="AG135" i="11"/>
  <c r="AG136" i="11"/>
  <c r="AG137" i="11"/>
  <c r="AG138" i="11"/>
  <c r="AG139" i="11"/>
  <c r="AG140" i="11"/>
  <c r="AG141" i="11"/>
  <c r="AG142" i="11"/>
  <c r="AG143" i="11"/>
  <c r="AG144" i="11"/>
  <c r="AG145" i="11"/>
  <c r="AG146" i="11"/>
  <c r="AG147" i="11"/>
  <c r="AG148" i="11"/>
  <c r="AG149" i="11"/>
  <c r="AG150" i="11"/>
  <c r="AG151" i="11"/>
  <c r="AG152" i="11"/>
  <c r="AG153" i="11"/>
  <c r="AG154" i="11"/>
  <c r="AG155" i="11"/>
  <c r="AG156" i="11"/>
  <c r="AG157" i="11"/>
  <c r="AG158" i="11"/>
  <c r="AG159" i="11"/>
  <c r="AG7" i="11"/>
  <c r="T160" i="11"/>
  <c r="T161" i="11"/>
  <c r="T162" i="11"/>
  <c r="T163" i="11"/>
  <c r="T164" i="11"/>
  <c r="T165" i="11"/>
  <c r="T166" i="11"/>
  <c r="T167" i="11"/>
  <c r="T168" i="11"/>
  <c r="T169" i="11"/>
  <c r="T8" i="11"/>
  <c r="T9" i="11"/>
  <c r="T10" i="11"/>
  <c r="T11" i="11"/>
  <c r="T12" i="11"/>
  <c r="T13" i="11"/>
  <c r="T14" i="11"/>
  <c r="T15" i="11"/>
  <c r="T16" i="11"/>
  <c r="T17" i="11"/>
  <c r="T18" i="11"/>
  <c r="T19" i="11"/>
  <c r="T20" i="11"/>
  <c r="T21" i="11"/>
  <c r="T22" i="11"/>
  <c r="T23" i="11"/>
  <c r="T24" i="11"/>
  <c r="T25" i="11"/>
  <c r="T26" i="11"/>
  <c r="T27" i="11"/>
  <c r="T28" i="11"/>
  <c r="T29" i="11"/>
  <c r="T30" i="11"/>
  <c r="T31" i="11"/>
  <c r="T32" i="11"/>
  <c r="T33" i="11"/>
  <c r="T34" i="11"/>
  <c r="T35" i="11"/>
  <c r="T36" i="11"/>
  <c r="T37" i="11"/>
  <c r="T38" i="11"/>
  <c r="T39" i="11"/>
  <c r="T40" i="11"/>
  <c r="T41" i="11"/>
  <c r="T42" i="11"/>
  <c r="T43" i="11"/>
  <c r="T44" i="11"/>
  <c r="T45" i="11"/>
  <c r="T46" i="11"/>
  <c r="T47" i="11"/>
  <c r="T48" i="11"/>
  <c r="T49" i="11"/>
  <c r="T50" i="11"/>
  <c r="T51" i="11"/>
  <c r="T52" i="11"/>
  <c r="T53" i="11"/>
  <c r="T54" i="11"/>
  <c r="T55" i="11"/>
  <c r="T56" i="11"/>
  <c r="T57" i="11"/>
  <c r="T58" i="11"/>
  <c r="T59" i="11"/>
  <c r="T60" i="11"/>
  <c r="T61" i="11"/>
  <c r="T62" i="11"/>
  <c r="T63" i="11"/>
  <c r="T64" i="11"/>
  <c r="T65" i="11"/>
  <c r="T66" i="11"/>
  <c r="T67" i="11"/>
  <c r="T68" i="11"/>
  <c r="T69" i="11"/>
  <c r="T70" i="11"/>
  <c r="T71" i="11"/>
  <c r="T72" i="11"/>
  <c r="T73" i="11"/>
  <c r="T74" i="11"/>
  <c r="T75" i="11"/>
  <c r="T76" i="11"/>
  <c r="T77" i="11"/>
  <c r="T78" i="11"/>
  <c r="T79" i="11"/>
  <c r="T80" i="11"/>
  <c r="T81" i="11"/>
  <c r="T82" i="11"/>
  <c r="T83" i="11"/>
  <c r="T84" i="11"/>
  <c r="T85" i="11"/>
  <c r="T86" i="11"/>
  <c r="T87" i="11"/>
  <c r="T88" i="11"/>
  <c r="T89" i="11"/>
  <c r="T90" i="11"/>
  <c r="T91" i="11"/>
  <c r="T92" i="11"/>
  <c r="T93" i="11"/>
  <c r="T94" i="11"/>
  <c r="T95" i="11"/>
  <c r="T96" i="11"/>
  <c r="T97" i="11"/>
  <c r="T98" i="11"/>
  <c r="T99" i="11"/>
  <c r="T100" i="11"/>
  <c r="T101" i="11"/>
  <c r="T102" i="11"/>
  <c r="T103" i="11"/>
  <c r="T104" i="11"/>
  <c r="T105" i="11"/>
  <c r="T106" i="11"/>
  <c r="T107" i="11"/>
  <c r="T108" i="11"/>
  <c r="T109" i="11"/>
  <c r="T110" i="11"/>
  <c r="T111" i="11"/>
  <c r="T112" i="11"/>
  <c r="T113" i="11"/>
  <c r="T114" i="11"/>
  <c r="T115" i="11"/>
  <c r="T116" i="11"/>
  <c r="T117" i="11"/>
  <c r="T118" i="11"/>
  <c r="T119" i="11"/>
  <c r="T120" i="11"/>
  <c r="T121" i="11"/>
  <c r="T122" i="11"/>
  <c r="T123" i="11"/>
  <c r="T124" i="11"/>
  <c r="T125" i="11"/>
  <c r="T126" i="11"/>
  <c r="T127" i="11"/>
  <c r="T128" i="11"/>
  <c r="T129" i="11"/>
  <c r="T130" i="11"/>
  <c r="T131" i="11"/>
  <c r="T132" i="11"/>
  <c r="T133" i="11"/>
  <c r="T134" i="11"/>
  <c r="T135" i="11"/>
  <c r="T136" i="11"/>
  <c r="T137" i="11"/>
  <c r="T138" i="11"/>
  <c r="T139" i="11"/>
  <c r="T140" i="11"/>
  <c r="T141" i="11"/>
  <c r="T142" i="11"/>
  <c r="T143" i="11"/>
  <c r="T144" i="11"/>
  <c r="T145" i="11"/>
  <c r="T146" i="11"/>
  <c r="T147" i="11"/>
  <c r="T148" i="11"/>
  <c r="T149" i="11"/>
  <c r="T150" i="11"/>
  <c r="T151" i="11"/>
  <c r="T152" i="11"/>
  <c r="T153" i="11"/>
  <c r="T154" i="11"/>
  <c r="T155" i="11"/>
  <c r="T156" i="11"/>
  <c r="T157" i="11"/>
  <c r="T158" i="11"/>
  <c r="T159" i="11"/>
  <c r="T7" i="11"/>
  <c r="S160" i="11"/>
  <c r="S161" i="11"/>
  <c r="S162" i="11"/>
  <c r="S163" i="11"/>
  <c r="S164" i="11"/>
  <c r="S165" i="11"/>
  <c r="S166" i="11"/>
  <c r="S167" i="11"/>
  <c r="S168" i="11"/>
  <c r="S169" i="11"/>
  <c r="S8" i="11"/>
  <c r="S9" i="11"/>
  <c r="S10" i="11"/>
  <c r="S11" i="11"/>
  <c r="S12" i="11"/>
  <c r="S13" i="11"/>
  <c r="S14" i="11"/>
  <c r="S15" i="11"/>
  <c r="S16" i="11"/>
  <c r="S17" i="11"/>
  <c r="S18" i="11"/>
  <c r="S19" i="11"/>
  <c r="S20" i="11"/>
  <c r="S21" i="11"/>
  <c r="S22" i="11"/>
  <c r="S23" i="11"/>
  <c r="S24" i="11"/>
  <c r="S25" i="11"/>
  <c r="S26" i="11"/>
  <c r="S27" i="11"/>
  <c r="S28" i="11"/>
  <c r="S29" i="11"/>
  <c r="S30" i="11"/>
  <c r="S31" i="11"/>
  <c r="S32" i="11"/>
  <c r="S33" i="11"/>
  <c r="S34" i="11"/>
  <c r="S35" i="11"/>
  <c r="S36" i="11"/>
  <c r="S37" i="11"/>
  <c r="S38" i="11"/>
  <c r="S39" i="11"/>
  <c r="S40" i="11"/>
  <c r="S41" i="11"/>
  <c r="S42" i="11"/>
  <c r="S43" i="11"/>
  <c r="S44" i="11"/>
  <c r="S45" i="11"/>
  <c r="S46" i="11"/>
  <c r="S47" i="11"/>
  <c r="S48" i="11"/>
  <c r="S49" i="11"/>
  <c r="S50" i="11"/>
  <c r="S51" i="11"/>
  <c r="S52" i="11"/>
  <c r="S53" i="11"/>
  <c r="S54" i="11"/>
  <c r="S55" i="11"/>
  <c r="S56" i="11"/>
  <c r="S57" i="11"/>
  <c r="S58" i="11"/>
  <c r="S59" i="11"/>
  <c r="S60" i="11"/>
  <c r="S61" i="11"/>
  <c r="S62" i="11"/>
  <c r="S63" i="11"/>
  <c r="S64" i="11"/>
  <c r="S65" i="11"/>
  <c r="S66" i="11"/>
  <c r="S67" i="11"/>
  <c r="S68" i="11"/>
  <c r="S69" i="11"/>
  <c r="S70" i="11"/>
  <c r="S71" i="11"/>
  <c r="S72" i="11"/>
  <c r="S73" i="11"/>
  <c r="S74" i="11"/>
  <c r="S75" i="11"/>
  <c r="S76" i="11"/>
  <c r="S77" i="11"/>
  <c r="S78" i="11"/>
  <c r="S79" i="11"/>
  <c r="S80" i="11"/>
  <c r="S81" i="11"/>
  <c r="S82" i="11"/>
  <c r="S83" i="11"/>
  <c r="S84" i="11"/>
  <c r="S85" i="11"/>
  <c r="S86" i="11"/>
  <c r="S87" i="11"/>
  <c r="S88" i="11"/>
  <c r="S89" i="11"/>
  <c r="S90" i="11"/>
  <c r="S91" i="11"/>
  <c r="S92" i="11"/>
  <c r="S93" i="11"/>
  <c r="S94" i="11"/>
  <c r="S95" i="11"/>
  <c r="S96" i="11"/>
  <c r="S97" i="11"/>
  <c r="S98" i="11"/>
  <c r="S99" i="11"/>
  <c r="S100" i="11"/>
  <c r="S101" i="11"/>
  <c r="S102" i="11"/>
  <c r="S103" i="11"/>
  <c r="S104" i="11"/>
  <c r="S105" i="11"/>
  <c r="S106" i="11"/>
  <c r="S107" i="11"/>
  <c r="S108" i="11"/>
  <c r="S109" i="11"/>
  <c r="S110" i="11"/>
  <c r="S111" i="11"/>
  <c r="S112" i="11"/>
  <c r="S113" i="11"/>
  <c r="S114" i="11"/>
  <c r="S115" i="11"/>
  <c r="S116" i="11"/>
  <c r="S117" i="11"/>
  <c r="S118" i="11"/>
  <c r="S119" i="11"/>
  <c r="S120" i="11"/>
  <c r="S121" i="11"/>
  <c r="S122" i="11"/>
  <c r="S123" i="11"/>
  <c r="S124" i="11"/>
  <c r="S125" i="11"/>
  <c r="S126" i="11"/>
  <c r="S127" i="11"/>
  <c r="S128" i="11"/>
  <c r="S129" i="11"/>
  <c r="S130" i="11"/>
  <c r="S131" i="11"/>
  <c r="S132" i="11"/>
  <c r="S133" i="11"/>
  <c r="S134" i="11"/>
  <c r="S135" i="11"/>
  <c r="S136" i="11"/>
  <c r="S137" i="11"/>
  <c r="S138" i="11"/>
  <c r="S139" i="11"/>
  <c r="S140" i="11"/>
  <c r="S141" i="11"/>
  <c r="S142" i="11"/>
  <c r="S143" i="11"/>
  <c r="S144" i="11"/>
  <c r="S145" i="11"/>
  <c r="S146" i="11"/>
  <c r="S147" i="11"/>
  <c r="S148" i="11"/>
  <c r="S149" i="11"/>
  <c r="S150" i="11"/>
  <c r="S151" i="11"/>
  <c r="S152" i="11"/>
  <c r="S153" i="11"/>
  <c r="S154" i="11"/>
  <c r="S155" i="11"/>
  <c r="S156" i="11"/>
  <c r="S157" i="11"/>
  <c r="S158" i="11"/>
  <c r="S159" i="11"/>
  <c r="S7" i="11"/>
  <c r="N160" i="11"/>
  <c r="N161" i="11"/>
  <c r="N162" i="11"/>
  <c r="N163" i="11"/>
  <c r="N164" i="11"/>
  <c r="N165" i="11"/>
  <c r="N166" i="11"/>
  <c r="N167" i="11"/>
  <c r="N168" i="11"/>
  <c r="N169"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7" i="11"/>
  <c r="D160" i="11" l="1"/>
  <c r="E160" i="11"/>
  <c r="F160" i="11"/>
  <c r="G160" i="11"/>
  <c r="H160" i="11"/>
  <c r="I160" i="11"/>
  <c r="J160" i="11"/>
  <c r="K160" i="11"/>
  <c r="L160" i="11"/>
  <c r="M160" i="11"/>
  <c r="O160" i="11"/>
  <c r="U160" i="11" s="1"/>
  <c r="P160" i="11"/>
  <c r="W160" i="11"/>
  <c r="X160" i="11"/>
  <c r="Y160" i="11"/>
  <c r="Z160" i="11"/>
  <c r="AA160" i="11"/>
  <c r="AB160" i="11"/>
  <c r="AC160" i="11"/>
  <c r="AD160" i="11"/>
  <c r="AE160" i="11"/>
  <c r="AF160" i="11"/>
  <c r="AH160" i="11"/>
  <c r="AI160" i="11"/>
  <c r="AJ160" i="11"/>
  <c r="AK160" i="11"/>
  <c r="AL160" i="11"/>
  <c r="AM160" i="11"/>
  <c r="D161" i="11"/>
  <c r="E161" i="11"/>
  <c r="F161" i="11"/>
  <c r="G161" i="11"/>
  <c r="H161" i="11"/>
  <c r="I161" i="11"/>
  <c r="J161" i="11"/>
  <c r="K161" i="11"/>
  <c r="L161" i="11"/>
  <c r="M161" i="11"/>
  <c r="O161" i="11"/>
  <c r="U161" i="11" s="1"/>
  <c r="P161" i="11"/>
  <c r="V161" i="11" s="1"/>
  <c r="W161" i="11"/>
  <c r="X161" i="11"/>
  <c r="Y161" i="11"/>
  <c r="Z161" i="11"/>
  <c r="AA161" i="11"/>
  <c r="AB161" i="11"/>
  <c r="AC161" i="11"/>
  <c r="AD161" i="11"/>
  <c r="AE161" i="11"/>
  <c r="AF161" i="11"/>
  <c r="AH161" i="11"/>
  <c r="AI161" i="11"/>
  <c r="AJ161" i="11"/>
  <c r="AK161" i="11"/>
  <c r="AL161" i="11"/>
  <c r="AM161" i="11"/>
  <c r="D162" i="11"/>
  <c r="E162" i="11"/>
  <c r="F162" i="11"/>
  <c r="G162" i="11"/>
  <c r="H162" i="11"/>
  <c r="I162" i="11"/>
  <c r="J162" i="11"/>
  <c r="K162" i="11"/>
  <c r="L162" i="11"/>
  <c r="M162" i="11"/>
  <c r="O162" i="11"/>
  <c r="U162" i="11" s="1"/>
  <c r="P162" i="11"/>
  <c r="V162" i="11" s="1"/>
  <c r="W162" i="11"/>
  <c r="X162" i="11"/>
  <c r="Y162" i="11"/>
  <c r="Z162" i="11"/>
  <c r="AA162" i="11"/>
  <c r="AB162" i="11"/>
  <c r="AC162" i="11"/>
  <c r="AD162" i="11"/>
  <c r="AE162" i="11"/>
  <c r="AF162" i="11"/>
  <c r="AH162" i="11"/>
  <c r="AI162" i="11"/>
  <c r="AJ162" i="11"/>
  <c r="AK162" i="11"/>
  <c r="AL162" i="11"/>
  <c r="AM162" i="11"/>
  <c r="D163" i="11"/>
  <c r="E163" i="11"/>
  <c r="F163" i="11"/>
  <c r="G163" i="11"/>
  <c r="H163" i="11"/>
  <c r="I163" i="11"/>
  <c r="J163" i="11"/>
  <c r="K163" i="11"/>
  <c r="L163" i="11"/>
  <c r="M163" i="11"/>
  <c r="O163" i="11"/>
  <c r="U163" i="11" s="1"/>
  <c r="P163" i="11"/>
  <c r="W163" i="11"/>
  <c r="X163" i="11"/>
  <c r="Y163" i="11"/>
  <c r="Z163" i="11"/>
  <c r="AA163" i="11"/>
  <c r="AB163" i="11"/>
  <c r="AC163" i="11"/>
  <c r="AD163" i="11"/>
  <c r="AE163" i="11"/>
  <c r="AF163" i="11"/>
  <c r="AH163" i="11"/>
  <c r="AI163" i="11"/>
  <c r="AJ163" i="11"/>
  <c r="AK163" i="11"/>
  <c r="AL163" i="11"/>
  <c r="AM163" i="11"/>
  <c r="D164" i="11"/>
  <c r="E164" i="11"/>
  <c r="F164" i="11"/>
  <c r="G164" i="11"/>
  <c r="H164" i="11"/>
  <c r="I164" i="11"/>
  <c r="J164" i="11"/>
  <c r="K164" i="11"/>
  <c r="L164" i="11"/>
  <c r="M164" i="11"/>
  <c r="O164" i="11"/>
  <c r="U164" i="11" s="1"/>
  <c r="P164" i="11"/>
  <c r="V164" i="11" s="1"/>
  <c r="W164" i="11"/>
  <c r="X164" i="11"/>
  <c r="Y164" i="11"/>
  <c r="Z164" i="11"/>
  <c r="AA164" i="11"/>
  <c r="AB164" i="11"/>
  <c r="AC164" i="11"/>
  <c r="AD164" i="11"/>
  <c r="AE164" i="11"/>
  <c r="AF164" i="11"/>
  <c r="AH164" i="11"/>
  <c r="AI164" i="11"/>
  <c r="AJ164" i="11"/>
  <c r="AK164" i="11"/>
  <c r="AL164" i="11"/>
  <c r="AM164" i="11"/>
  <c r="D165" i="11"/>
  <c r="E165" i="11"/>
  <c r="F165" i="11"/>
  <c r="G165" i="11"/>
  <c r="H165" i="11"/>
  <c r="I165" i="11"/>
  <c r="J165" i="11"/>
  <c r="K165" i="11"/>
  <c r="L165" i="11"/>
  <c r="M165" i="11"/>
  <c r="O165" i="11"/>
  <c r="P165" i="11"/>
  <c r="V165" i="11" s="1"/>
  <c r="W165" i="11"/>
  <c r="X165" i="11"/>
  <c r="Y165" i="11"/>
  <c r="Z165" i="11"/>
  <c r="AA165" i="11"/>
  <c r="AB165" i="11"/>
  <c r="AC165" i="11"/>
  <c r="AD165" i="11"/>
  <c r="AE165" i="11"/>
  <c r="AF165" i="11"/>
  <c r="AH165" i="11"/>
  <c r="AI165" i="11"/>
  <c r="AJ165" i="11"/>
  <c r="AK165" i="11"/>
  <c r="AL165" i="11"/>
  <c r="AM165" i="11"/>
  <c r="D166" i="11"/>
  <c r="E166" i="11"/>
  <c r="F166" i="11"/>
  <c r="G166" i="11"/>
  <c r="H166" i="11"/>
  <c r="I166" i="11"/>
  <c r="J166" i="11"/>
  <c r="K166" i="11"/>
  <c r="L166" i="11"/>
  <c r="M166" i="11"/>
  <c r="O166" i="11"/>
  <c r="U166" i="11" s="1"/>
  <c r="P166" i="11"/>
  <c r="V166" i="11" s="1"/>
  <c r="W166" i="11"/>
  <c r="X166" i="11"/>
  <c r="Y166" i="11"/>
  <c r="Z166" i="11"/>
  <c r="AA166" i="11"/>
  <c r="AB166" i="11"/>
  <c r="AC166" i="11"/>
  <c r="AD166" i="11"/>
  <c r="AE166" i="11"/>
  <c r="AF166" i="11"/>
  <c r="AH166" i="11"/>
  <c r="AI166" i="11"/>
  <c r="AJ166" i="11"/>
  <c r="AK166" i="11"/>
  <c r="AL166" i="11"/>
  <c r="AM166" i="11"/>
  <c r="D167" i="11"/>
  <c r="E167" i="11"/>
  <c r="F167" i="11"/>
  <c r="G167" i="11"/>
  <c r="H167" i="11"/>
  <c r="I167" i="11"/>
  <c r="J167" i="11"/>
  <c r="K167" i="11"/>
  <c r="L167" i="11"/>
  <c r="M167" i="11"/>
  <c r="O167" i="11"/>
  <c r="U167" i="11" s="1"/>
  <c r="P167" i="11"/>
  <c r="V167" i="11" s="1"/>
  <c r="W167" i="11"/>
  <c r="X167" i="11"/>
  <c r="Y167" i="11"/>
  <c r="Z167" i="11"/>
  <c r="AA167" i="11"/>
  <c r="AB167" i="11"/>
  <c r="AC167" i="11"/>
  <c r="AD167" i="11"/>
  <c r="AE167" i="11"/>
  <c r="AF167" i="11"/>
  <c r="AH167" i="11"/>
  <c r="AI167" i="11"/>
  <c r="AJ167" i="11"/>
  <c r="AK167" i="11"/>
  <c r="AL167" i="11"/>
  <c r="AM167" i="11"/>
  <c r="D168" i="11"/>
  <c r="E168" i="11"/>
  <c r="F168" i="11"/>
  <c r="G168" i="11"/>
  <c r="H168" i="11"/>
  <c r="I168" i="11"/>
  <c r="J168" i="11"/>
  <c r="K168" i="11"/>
  <c r="L168" i="11"/>
  <c r="M168" i="11"/>
  <c r="O168" i="11"/>
  <c r="U168" i="11" s="1"/>
  <c r="P168" i="11"/>
  <c r="V168" i="11" s="1"/>
  <c r="W168" i="11"/>
  <c r="X168" i="11"/>
  <c r="Y168" i="11"/>
  <c r="Z168" i="11"/>
  <c r="AA168" i="11"/>
  <c r="AB168" i="11"/>
  <c r="AC168" i="11"/>
  <c r="AD168" i="11"/>
  <c r="AE168" i="11"/>
  <c r="AF168" i="11"/>
  <c r="AH168" i="11"/>
  <c r="AI168" i="11"/>
  <c r="AJ168" i="11"/>
  <c r="AK168" i="11"/>
  <c r="AL168" i="11"/>
  <c r="AM168" i="11"/>
  <c r="D169" i="11"/>
  <c r="E169" i="11"/>
  <c r="F169" i="11"/>
  <c r="G169" i="11"/>
  <c r="H169" i="11"/>
  <c r="I169" i="11"/>
  <c r="J169" i="11"/>
  <c r="K169" i="11"/>
  <c r="L169" i="11"/>
  <c r="M169" i="11"/>
  <c r="O169" i="11"/>
  <c r="P169" i="11"/>
  <c r="V169" i="11" s="1"/>
  <c r="W169" i="11"/>
  <c r="X169" i="11"/>
  <c r="Y169" i="11"/>
  <c r="Z169" i="11"/>
  <c r="AA169" i="11"/>
  <c r="AB169" i="11"/>
  <c r="AC169" i="11"/>
  <c r="AD169" i="11"/>
  <c r="AE169" i="11"/>
  <c r="AF169" i="11"/>
  <c r="AH169" i="11"/>
  <c r="AI169" i="11"/>
  <c r="AJ169" i="11"/>
  <c r="AK169" i="11"/>
  <c r="AL169" i="11"/>
  <c r="AM169" i="11"/>
  <c r="D8" i="11"/>
  <c r="E8" i="11"/>
  <c r="F8" i="11"/>
  <c r="G8" i="11"/>
  <c r="H8" i="11"/>
  <c r="I8" i="11"/>
  <c r="J8" i="11"/>
  <c r="K8" i="11"/>
  <c r="L8" i="11"/>
  <c r="M8" i="11"/>
  <c r="O8" i="11"/>
  <c r="U8" i="11" s="1"/>
  <c r="P8" i="11"/>
  <c r="V8" i="11" s="1"/>
  <c r="W8" i="11"/>
  <c r="X8" i="11"/>
  <c r="Y8" i="11"/>
  <c r="Z8" i="11"/>
  <c r="AA8" i="11"/>
  <c r="AB8" i="11"/>
  <c r="AC8" i="11"/>
  <c r="AD8" i="11"/>
  <c r="AE8" i="11"/>
  <c r="AF8" i="11"/>
  <c r="AH8" i="11"/>
  <c r="AI8" i="11"/>
  <c r="AJ8" i="11"/>
  <c r="AK8" i="11"/>
  <c r="AL8" i="11"/>
  <c r="AM8" i="11"/>
  <c r="D9" i="11"/>
  <c r="E9" i="11"/>
  <c r="F9" i="11"/>
  <c r="G9" i="11"/>
  <c r="H9" i="11"/>
  <c r="I9" i="11"/>
  <c r="J9" i="11"/>
  <c r="K9" i="11"/>
  <c r="L9" i="11"/>
  <c r="M9" i="11"/>
  <c r="O9" i="11"/>
  <c r="P9" i="11"/>
  <c r="V9" i="11" s="1"/>
  <c r="W9" i="11"/>
  <c r="X9" i="11"/>
  <c r="Y9" i="11"/>
  <c r="Z9" i="11"/>
  <c r="AA9" i="11"/>
  <c r="AB9" i="11"/>
  <c r="AC9" i="11"/>
  <c r="AD9" i="11"/>
  <c r="AE9" i="11"/>
  <c r="AF9" i="11"/>
  <c r="AH9" i="11"/>
  <c r="AI9" i="11"/>
  <c r="AJ9" i="11"/>
  <c r="AK9" i="11"/>
  <c r="AL9" i="11"/>
  <c r="AM9" i="11"/>
  <c r="D10" i="11"/>
  <c r="E10" i="11"/>
  <c r="F10" i="11"/>
  <c r="G10" i="11"/>
  <c r="H10" i="11"/>
  <c r="I10" i="11"/>
  <c r="J10" i="11"/>
  <c r="K10" i="11"/>
  <c r="L10" i="11"/>
  <c r="M10" i="11"/>
  <c r="O10" i="11"/>
  <c r="U10" i="11" s="1"/>
  <c r="P10" i="11"/>
  <c r="V10" i="11" s="1"/>
  <c r="W10" i="11"/>
  <c r="X10" i="11"/>
  <c r="Y10" i="11"/>
  <c r="Z10" i="11"/>
  <c r="AA10" i="11"/>
  <c r="AB10" i="11"/>
  <c r="AC10" i="11"/>
  <c r="AD10" i="11"/>
  <c r="AE10" i="11"/>
  <c r="AF10" i="11"/>
  <c r="AH10" i="11"/>
  <c r="AI10" i="11"/>
  <c r="AJ10" i="11"/>
  <c r="AK10" i="11"/>
  <c r="AL10" i="11"/>
  <c r="AM10" i="11"/>
  <c r="D11" i="11"/>
  <c r="E11" i="11"/>
  <c r="F11" i="11"/>
  <c r="G11" i="11"/>
  <c r="H11" i="11"/>
  <c r="I11" i="11"/>
  <c r="J11" i="11"/>
  <c r="K11" i="11"/>
  <c r="L11" i="11"/>
  <c r="M11" i="11"/>
  <c r="O11" i="11"/>
  <c r="U11" i="11" s="1"/>
  <c r="P11" i="11"/>
  <c r="V11" i="11" s="1"/>
  <c r="W11" i="11"/>
  <c r="X11" i="11"/>
  <c r="Y11" i="11"/>
  <c r="Z11" i="11"/>
  <c r="AA11" i="11"/>
  <c r="AB11" i="11"/>
  <c r="AC11" i="11"/>
  <c r="AD11" i="11"/>
  <c r="AE11" i="11"/>
  <c r="AF11" i="11"/>
  <c r="AH11" i="11"/>
  <c r="AI11" i="11"/>
  <c r="AJ11" i="11"/>
  <c r="AK11" i="11"/>
  <c r="AL11" i="11"/>
  <c r="AM11" i="11"/>
  <c r="D12" i="11"/>
  <c r="E12" i="11"/>
  <c r="F12" i="11"/>
  <c r="G12" i="11"/>
  <c r="H12" i="11"/>
  <c r="I12" i="11"/>
  <c r="J12" i="11"/>
  <c r="K12" i="11"/>
  <c r="L12" i="11"/>
  <c r="M12" i="11"/>
  <c r="O12" i="11"/>
  <c r="P12" i="11"/>
  <c r="V12" i="11" s="1"/>
  <c r="W12" i="11"/>
  <c r="X12" i="11"/>
  <c r="Y12" i="11"/>
  <c r="Z12" i="11"/>
  <c r="AA12" i="11"/>
  <c r="AB12" i="11"/>
  <c r="AC12" i="11"/>
  <c r="AD12" i="11"/>
  <c r="AE12" i="11"/>
  <c r="AF12" i="11"/>
  <c r="AH12" i="11"/>
  <c r="AI12" i="11"/>
  <c r="AJ12" i="11"/>
  <c r="AK12" i="11"/>
  <c r="AL12" i="11"/>
  <c r="AM12" i="11"/>
  <c r="D13" i="11"/>
  <c r="E13" i="11"/>
  <c r="F13" i="11"/>
  <c r="G13" i="11"/>
  <c r="H13" i="11"/>
  <c r="I13" i="11"/>
  <c r="J13" i="11"/>
  <c r="K13" i="11"/>
  <c r="L13" i="11"/>
  <c r="M13" i="11"/>
  <c r="O13" i="11"/>
  <c r="P13" i="11"/>
  <c r="V13" i="11" s="1"/>
  <c r="W13" i="11"/>
  <c r="X13" i="11"/>
  <c r="Y13" i="11"/>
  <c r="Z13" i="11"/>
  <c r="AA13" i="11"/>
  <c r="AB13" i="11"/>
  <c r="AC13" i="11"/>
  <c r="AD13" i="11"/>
  <c r="AE13" i="11"/>
  <c r="AF13" i="11"/>
  <c r="AH13" i="11"/>
  <c r="AI13" i="11"/>
  <c r="AJ13" i="11"/>
  <c r="AK13" i="11"/>
  <c r="AL13" i="11"/>
  <c r="AM13" i="11"/>
  <c r="D14" i="11"/>
  <c r="E14" i="11"/>
  <c r="F14" i="11"/>
  <c r="G14" i="11"/>
  <c r="H14" i="11"/>
  <c r="I14" i="11"/>
  <c r="J14" i="11"/>
  <c r="K14" i="11"/>
  <c r="L14" i="11"/>
  <c r="M14" i="11"/>
  <c r="O14" i="11"/>
  <c r="U14" i="11" s="1"/>
  <c r="P14" i="11"/>
  <c r="V14" i="11" s="1"/>
  <c r="W14" i="11"/>
  <c r="X14" i="11"/>
  <c r="Y14" i="11"/>
  <c r="Z14" i="11"/>
  <c r="AA14" i="11"/>
  <c r="AB14" i="11"/>
  <c r="AC14" i="11"/>
  <c r="AD14" i="11"/>
  <c r="AE14" i="11"/>
  <c r="AF14" i="11"/>
  <c r="AH14" i="11"/>
  <c r="AI14" i="11"/>
  <c r="AJ14" i="11"/>
  <c r="AK14" i="11"/>
  <c r="AL14" i="11"/>
  <c r="AM14" i="11"/>
  <c r="D15" i="11"/>
  <c r="E15" i="11"/>
  <c r="F15" i="11"/>
  <c r="G15" i="11"/>
  <c r="H15" i="11"/>
  <c r="I15" i="11"/>
  <c r="J15" i="11"/>
  <c r="K15" i="11"/>
  <c r="L15" i="11"/>
  <c r="M15" i="11"/>
  <c r="O15" i="11"/>
  <c r="U15" i="11" s="1"/>
  <c r="P15" i="11"/>
  <c r="V15" i="11" s="1"/>
  <c r="W15" i="11"/>
  <c r="X15" i="11"/>
  <c r="Y15" i="11"/>
  <c r="Z15" i="11"/>
  <c r="AA15" i="11"/>
  <c r="AB15" i="11"/>
  <c r="AC15" i="11"/>
  <c r="AD15" i="11"/>
  <c r="AE15" i="11"/>
  <c r="AF15" i="11"/>
  <c r="AH15" i="11"/>
  <c r="AI15" i="11"/>
  <c r="AJ15" i="11"/>
  <c r="AK15" i="11"/>
  <c r="AL15" i="11"/>
  <c r="AM15" i="11"/>
  <c r="D16" i="11"/>
  <c r="E16" i="11"/>
  <c r="F16" i="11"/>
  <c r="G16" i="11"/>
  <c r="H16" i="11"/>
  <c r="I16" i="11"/>
  <c r="J16" i="11"/>
  <c r="K16" i="11"/>
  <c r="L16" i="11"/>
  <c r="M16" i="11"/>
  <c r="O16" i="11"/>
  <c r="P16" i="11"/>
  <c r="V16" i="11" s="1"/>
  <c r="W16" i="11"/>
  <c r="X16" i="11"/>
  <c r="Y16" i="11"/>
  <c r="Z16" i="11"/>
  <c r="AA16" i="11"/>
  <c r="AB16" i="11"/>
  <c r="AC16" i="11"/>
  <c r="AD16" i="11"/>
  <c r="AE16" i="11"/>
  <c r="AF16" i="11"/>
  <c r="AH16" i="11"/>
  <c r="AI16" i="11"/>
  <c r="AJ16" i="11"/>
  <c r="AK16" i="11"/>
  <c r="AL16" i="11"/>
  <c r="AM16" i="11"/>
  <c r="D17" i="11"/>
  <c r="E17" i="11"/>
  <c r="F17" i="11"/>
  <c r="G17" i="11"/>
  <c r="H17" i="11"/>
  <c r="I17" i="11"/>
  <c r="J17" i="11"/>
  <c r="K17" i="11"/>
  <c r="L17" i="11"/>
  <c r="M17" i="11"/>
  <c r="O17" i="11"/>
  <c r="U17" i="11" s="1"/>
  <c r="P17" i="11"/>
  <c r="V17" i="11" s="1"/>
  <c r="W17" i="11"/>
  <c r="X17" i="11"/>
  <c r="Y17" i="11"/>
  <c r="Z17" i="11"/>
  <c r="AA17" i="11"/>
  <c r="AB17" i="11"/>
  <c r="AC17" i="11"/>
  <c r="AD17" i="11"/>
  <c r="AE17" i="11"/>
  <c r="AF17" i="11"/>
  <c r="AH17" i="11"/>
  <c r="AI17" i="11"/>
  <c r="AJ17" i="11"/>
  <c r="AK17" i="11"/>
  <c r="AL17" i="11"/>
  <c r="AM17" i="11"/>
  <c r="D18" i="11"/>
  <c r="E18" i="11"/>
  <c r="F18" i="11"/>
  <c r="G18" i="11"/>
  <c r="H18" i="11"/>
  <c r="I18" i="11"/>
  <c r="J18" i="11"/>
  <c r="K18" i="11"/>
  <c r="L18" i="11"/>
  <c r="M18" i="11"/>
  <c r="O18" i="11"/>
  <c r="U18" i="11" s="1"/>
  <c r="P18" i="11"/>
  <c r="V18" i="11" s="1"/>
  <c r="W18" i="11"/>
  <c r="X18" i="11"/>
  <c r="Y18" i="11"/>
  <c r="Z18" i="11"/>
  <c r="AA18" i="11"/>
  <c r="AB18" i="11"/>
  <c r="AC18" i="11"/>
  <c r="AD18" i="11"/>
  <c r="AE18" i="11"/>
  <c r="AF18" i="11"/>
  <c r="AH18" i="11"/>
  <c r="AI18" i="11"/>
  <c r="AJ18" i="11"/>
  <c r="AK18" i="11"/>
  <c r="AL18" i="11"/>
  <c r="AM18" i="11"/>
  <c r="D19" i="11"/>
  <c r="E19" i="11"/>
  <c r="F19" i="11"/>
  <c r="G19" i="11"/>
  <c r="H19" i="11"/>
  <c r="I19" i="11"/>
  <c r="J19" i="11"/>
  <c r="K19" i="11"/>
  <c r="L19" i="11"/>
  <c r="M19" i="11"/>
  <c r="O19" i="11"/>
  <c r="P19" i="11"/>
  <c r="V19" i="11" s="1"/>
  <c r="W19" i="11"/>
  <c r="X19" i="11"/>
  <c r="Y19" i="11"/>
  <c r="Z19" i="11"/>
  <c r="AA19" i="11"/>
  <c r="AB19" i="11"/>
  <c r="AC19" i="11"/>
  <c r="AD19" i="11"/>
  <c r="AE19" i="11"/>
  <c r="AF19" i="11"/>
  <c r="AH19" i="11"/>
  <c r="AI19" i="11"/>
  <c r="AJ19" i="11"/>
  <c r="AK19" i="11"/>
  <c r="AL19" i="11"/>
  <c r="AM19" i="11"/>
  <c r="D20" i="11"/>
  <c r="E20" i="11"/>
  <c r="F20" i="11"/>
  <c r="G20" i="11"/>
  <c r="H20" i="11"/>
  <c r="I20" i="11"/>
  <c r="J20" i="11"/>
  <c r="K20" i="11"/>
  <c r="L20" i="11"/>
  <c r="M20" i="11"/>
  <c r="O20" i="11"/>
  <c r="P20" i="11"/>
  <c r="V20" i="11" s="1"/>
  <c r="W20" i="11"/>
  <c r="X20" i="11"/>
  <c r="Y20" i="11"/>
  <c r="Z20" i="11"/>
  <c r="AA20" i="11"/>
  <c r="AB20" i="11"/>
  <c r="AC20" i="11"/>
  <c r="AD20" i="11"/>
  <c r="AE20" i="11"/>
  <c r="AF20" i="11"/>
  <c r="AH20" i="11"/>
  <c r="AI20" i="11"/>
  <c r="AJ20" i="11"/>
  <c r="AK20" i="11"/>
  <c r="AL20" i="11"/>
  <c r="AM20" i="11"/>
  <c r="D21" i="11"/>
  <c r="E21" i="11"/>
  <c r="F21" i="11"/>
  <c r="G21" i="11"/>
  <c r="H21" i="11"/>
  <c r="I21" i="11"/>
  <c r="J21" i="11"/>
  <c r="K21" i="11"/>
  <c r="L21" i="11"/>
  <c r="M21" i="11"/>
  <c r="O21" i="11"/>
  <c r="U21" i="11" s="1"/>
  <c r="P21" i="11"/>
  <c r="V21" i="11" s="1"/>
  <c r="W21" i="11"/>
  <c r="X21" i="11"/>
  <c r="Y21" i="11"/>
  <c r="Z21" i="11"/>
  <c r="AA21" i="11"/>
  <c r="AB21" i="11"/>
  <c r="AC21" i="11"/>
  <c r="AD21" i="11"/>
  <c r="AE21" i="11"/>
  <c r="AF21" i="11"/>
  <c r="AH21" i="11"/>
  <c r="AI21" i="11"/>
  <c r="AJ21" i="11"/>
  <c r="AK21" i="11"/>
  <c r="AL21" i="11"/>
  <c r="AM21" i="11"/>
  <c r="D22" i="11"/>
  <c r="E22" i="11"/>
  <c r="F22" i="11"/>
  <c r="G22" i="11"/>
  <c r="H22" i="11"/>
  <c r="I22" i="11"/>
  <c r="J22" i="11"/>
  <c r="K22" i="11"/>
  <c r="L22" i="11"/>
  <c r="M22" i="11"/>
  <c r="O22" i="11"/>
  <c r="U22" i="11" s="1"/>
  <c r="P22" i="11"/>
  <c r="V22" i="11" s="1"/>
  <c r="W22" i="11"/>
  <c r="X22" i="11"/>
  <c r="Y22" i="11"/>
  <c r="Z22" i="11"/>
  <c r="AA22" i="11"/>
  <c r="AB22" i="11"/>
  <c r="AC22" i="11"/>
  <c r="AD22" i="11"/>
  <c r="AE22" i="11"/>
  <c r="AF22" i="11"/>
  <c r="AH22" i="11"/>
  <c r="AI22" i="11"/>
  <c r="AJ22" i="11"/>
  <c r="AK22" i="11"/>
  <c r="AL22" i="11"/>
  <c r="AM22" i="11"/>
  <c r="D23" i="11"/>
  <c r="E23" i="11"/>
  <c r="F23" i="11"/>
  <c r="G23" i="11"/>
  <c r="H23" i="11"/>
  <c r="I23" i="11"/>
  <c r="J23" i="11"/>
  <c r="K23" i="11"/>
  <c r="L23" i="11"/>
  <c r="M23" i="11"/>
  <c r="O23" i="11"/>
  <c r="P23" i="11"/>
  <c r="V23" i="11" s="1"/>
  <c r="W23" i="11"/>
  <c r="X23" i="11"/>
  <c r="Y23" i="11"/>
  <c r="Z23" i="11"/>
  <c r="AA23" i="11"/>
  <c r="AB23" i="11"/>
  <c r="AC23" i="11"/>
  <c r="AD23" i="11"/>
  <c r="AE23" i="11"/>
  <c r="AF23" i="11"/>
  <c r="AH23" i="11"/>
  <c r="AI23" i="11"/>
  <c r="AJ23" i="11"/>
  <c r="AK23" i="11"/>
  <c r="AL23" i="11"/>
  <c r="AM23" i="11"/>
  <c r="D24" i="11"/>
  <c r="E24" i="11"/>
  <c r="F24" i="11"/>
  <c r="G24" i="11"/>
  <c r="H24" i="11"/>
  <c r="I24" i="11"/>
  <c r="J24" i="11"/>
  <c r="K24" i="11"/>
  <c r="L24" i="11"/>
  <c r="M24" i="11"/>
  <c r="O24" i="11"/>
  <c r="P24" i="11"/>
  <c r="V24" i="11" s="1"/>
  <c r="W24" i="11"/>
  <c r="X24" i="11"/>
  <c r="Y24" i="11"/>
  <c r="Z24" i="11"/>
  <c r="AA24" i="11"/>
  <c r="AB24" i="11"/>
  <c r="AC24" i="11"/>
  <c r="AD24" i="11"/>
  <c r="AE24" i="11"/>
  <c r="AF24" i="11"/>
  <c r="AH24" i="11"/>
  <c r="AI24" i="11"/>
  <c r="AJ24" i="11"/>
  <c r="AK24" i="11"/>
  <c r="AL24" i="11"/>
  <c r="AM24" i="11"/>
  <c r="D25" i="11"/>
  <c r="E25" i="11"/>
  <c r="F25" i="11"/>
  <c r="G25" i="11"/>
  <c r="H25" i="11"/>
  <c r="I25" i="11"/>
  <c r="J25" i="11"/>
  <c r="K25" i="11"/>
  <c r="L25" i="11"/>
  <c r="M25" i="11"/>
  <c r="O25" i="11"/>
  <c r="U25" i="11" s="1"/>
  <c r="P25" i="11"/>
  <c r="W25" i="11"/>
  <c r="X25" i="11"/>
  <c r="Y25" i="11"/>
  <c r="Z25" i="11"/>
  <c r="AA25" i="11"/>
  <c r="AB25" i="11"/>
  <c r="AC25" i="11"/>
  <c r="AD25" i="11"/>
  <c r="AE25" i="11"/>
  <c r="AF25" i="11"/>
  <c r="AH25" i="11"/>
  <c r="AI25" i="11"/>
  <c r="AJ25" i="11"/>
  <c r="AK25" i="11"/>
  <c r="AL25" i="11"/>
  <c r="AM25" i="11"/>
  <c r="D26" i="11"/>
  <c r="E26" i="11"/>
  <c r="F26" i="11"/>
  <c r="G26" i="11"/>
  <c r="H26" i="11"/>
  <c r="I26" i="11"/>
  <c r="J26" i="11"/>
  <c r="K26" i="11"/>
  <c r="L26" i="11"/>
  <c r="M26" i="11"/>
  <c r="O26" i="11"/>
  <c r="P26" i="11"/>
  <c r="V26" i="11" s="1"/>
  <c r="W26" i="11"/>
  <c r="X26" i="11"/>
  <c r="Y26" i="11"/>
  <c r="Z26" i="11"/>
  <c r="AA26" i="11"/>
  <c r="AB26" i="11"/>
  <c r="AC26" i="11"/>
  <c r="AD26" i="11"/>
  <c r="AE26" i="11"/>
  <c r="AF26" i="11"/>
  <c r="AH26" i="11"/>
  <c r="AI26" i="11"/>
  <c r="AJ26" i="11"/>
  <c r="AK26" i="11"/>
  <c r="AL26" i="11"/>
  <c r="AM26" i="11"/>
  <c r="D27" i="11"/>
  <c r="E27" i="11"/>
  <c r="F27" i="11"/>
  <c r="G27" i="11"/>
  <c r="H27" i="11"/>
  <c r="I27" i="11"/>
  <c r="J27" i="11"/>
  <c r="K27" i="11"/>
  <c r="L27" i="11"/>
  <c r="M27" i="11"/>
  <c r="O27" i="11"/>
  <c r="U27" i="11" s="1"/>
  <c r="P27" i="11"/>
  <c r="V27" i="11" s="1"/>
  <c r="W27" i="11"/>
  <c r="X27" i="11"/>
  <c r="Y27" i="11"/>
  <c r="Z27" i="11"/>
  <c r="AA27" i="11"/>
  <c r="AB27" i="11"/>
  <c r="AC27" i="11"/>
  <c r="AD27" i="11"/>
  <c r="AE27" i="11"/>
  <c r="AF27" i="11"/>
  <c r="AH27" i="11"/>
  <c r="AI27" i="11"/>
  <c r="AJ27" i="11"/>
  <c r="AK27" i="11"/>
  <c r="AL27" i="11"/>
  <c r="AM27" i="11"/>
  <c r="D28" i="11"/>
  <c r="E28" i="11"/>
  <c r="F28" i="11"/>
  <c r="G28" i="11"/>
  <c r="H28" i="11"/>
  <c r="I28" i="11"/>
  <c r="J28" i="11"/>
  <c r="K28" i="11"/>
  <c r="L28" i="11"/>
  <c r="M28" i="11"/>
  <c r="O28" i="11"/>
  <c r="U28" i="11" s="1"/>
  <c r="P28" i="11"/>
  <c r="V28" i="11" s="1"/>
  <c r="W28" i="11"/>
  <c r="X28" i="11"/>
  <c r="Y28" i="11"/>
  <c r="Z28" i="11"/>
  <c r="AA28" i="11"/>
  <c r="AB28" i="11"/>
  <c r="AC28" i="11"/>
  <c r="AD28" i="11"/>
  <c r="AE28" i="11"/>
  <c r="AF28" i="11"/>
  <c r="AH28" i="11"/>
  <c r="AI28" i="11"/>
  <c r="AJ28" i="11"/>
  <c r="AK28" i="11"/>
  <c r="AL28" i="11"/>
  <c r="AM28" i="11"/>
  <c r="D29" i="11"/>
  <c r="E29" i="11"/>
  <c r="F29" i="11"/>
  <c r="G29" i="11"/>
  <c r="H29" i="11"/>
  <c r="I29" i="11"/>
  <c r="J29" i="11"/>
  <c r="K29" i="11"/>
  <c r="L29" i="11"/>
  <c r="M29" i="11"/>
  <c r="O29" i="11"/>
  <c r="P29" i="11"/>
  <c r="V29" i="11" s="1"/>
  <c r="W29" i="11"/>
  <c r="X29" i="11"/>
  <c r="Y29" i="11"/>
  <c r="Z29" i="11"/>
  <c r="AA29" i="11"/>
  <c r="AB29" i="11"/>
  <c r="AC29" i="11"/>
  <c r="AD29" i="11"/>
  <c r="AE29" i="11"/>
  <c r="AF29" i="11"/>
  <c r="AH29" i="11"/>
  <c r="AI29" i="11"/>
  <c r="AJ29" i="11"/>
  <c r="AK29" i="11"/>
  <c r="AL29" i="11"/>
  <c r="AM29" i="11"/>
  <c r="D30" i="11"/>
  <c r="E30" i="11"/>
  <c r="F30" i="11"/>
  <c r="G30" i="11"/>
  <c r="H30" i="11"/>
  <c r="I30" i="11"/>
  <c r="J30" i="11"/>
  <c r="K30" i="11"/>
  <c r="L30" i="11"/>
  <c r="M30" i="11"/>
  <c r="O30" i="11"/>
  <c r="P30" i="11"/>
  <c r="V30" i="11" s="1"/>
  <c r="W30" i="11"/>
  <c r="X30" i="11"/>
  <c r="Y30" i="11"/>
  <c r="Z30" i="11"/>
  <c r="AA30" i="11"/>
  <c r="AB30" i="11"/>
  <c r="AC30" i="11"/>
  <c r="AD30" i="11"/>
  <c r="AE30" i="11"/>
  <c r="AF30" i="11"/>
  <c r="AH30" i="11"/>
  <c r="AI30" i="11"/>
  <c r="AJ30" i="11"/>
  <c r="AK30" i="11"/>
  <c r="AL30" i="11"/>
  <c r="AM30" i="11"/>
  <c r="D31" i="11"/>
  <c r="E31" i="11"/>
  <c r="F31" i="11"/>
  <c r="G31" i="11"/>
  <c r="H31" i="11"/>
  <c r="I31" i="11"/>
  <c r="J31" i="11"/>
  <c r="K31" i="11"/>
  <c r="L31" i="11"/>
  <c r="M31" i="11"/>
  <c r="O31" i="11"/>
  <c r="U31" i="11" s="1"/>
  <c r="P31" i="11"/>
  <c r="V31" i="11" s="1"/>
  <c r="W31" i="11"/>
  <c r="X31" i="11"/>
  <c r="Y31" i="11"/>
  <c r="Z31" i="11"/>
  <c r="AA31" i="11"/>
  <c r="AB31" i="11"/>
  <c r="AC31" i="11"/>
  <c r="AD31" i="11"/>
  <c r="AE31" i="11"/>
  <c r="AF31" i="11"/>
  <c r="AH31" i="11"/>
  <c r="AI31" i="11"/>
  <c r="AJ31" i="11"/>
  <c r="AK31" i="11"/>
  <c r="AL31" i="11"/>
  <c r="AM31" i="11"/>
  <c r="D32" i="11"/>
  <c r="E32" i="11"/>
  <c r="F32" i="11"/>
  <c r="G32" i="11"/>
  <c r="H32" i="11"/>
  <c r="I32" i="11"/>
  <c r="J32" i="11"/>
  <c r="K32" i="11"/>
  <c r="L32" i="11"/>
  <c r="M32" i="11"/>
  <c r="O32" i="11"/>
  <c r="U32" i="11" s="1"/>
  <c r="P32" i="11"/>
  <c r="V32" i="11" s="1"/>
  <c r="W32" i="11"/>
  <c r="X32" i="11"/>
  <c r="Y32" i="11"/>
  <c r="Z32" i="11"/>
  <c r="AA32" i="11"/>
  <c r="AB32" i="11"/>
  <c r="AC32" i="11"/>
  <c r="AD32" i="11"/>
  <c r="AE32" i="11"/>
  <c r="AF32" i="11"/>
  <c r="AH32" i="11"/>
  <c r="AI32" i="11"/>
  <c r="AJ32" i="11"/>
  <c r="AK32" i="11"/>
  <c r="AL32" i="11"/>
  <c r="AM32" i="11"/>
  <c r="D33" i="11"/>
  <c r="E33" i="11"/>
  <c r="F33" i="11"/>
  <c r="G33" i="11"/>
  <c r="H33" i="11"/>
  <c r="I33" i="11"/>
  <c r="J33" i="11"/>
  <c r="K33" i="11"/>
  <c r="L33" i="11"/>
  <c r="M33" i="11"/>
  <c r="O33" i="11"/>
  <c r="P33" i="11"/>
  <c r="V33" i="11" s="1"/>
  <c r="W33" i="11"/>
  <c r="X33" i="11"/>
  <c r="Y33" i="11"/>
  <c r="Z33" i="11"/>
  <c r="AA33" i="11"/>
  <c r="AB33" i="11"/>
  <c r="AC33" i="11"/>
  <c r="AD33" i="11"/>
  <c r="AE33" i="11"/>
  <c r="AF33" i="11"/>
  <c r="AH33" i="11"/>
  <c r="AI33" i="11"/>
  <c r="AJ33" i="11"/>
  <c r="AK33" i="11"/>
  <c r="AL33" i="11"/>
  <c r="AM33" i="11"/>
  <c r="D34" i="11"/>
  <c r="E34" i="11"/>
  <c r="F34" i="11"/>
  <c r="G34" i="11"/>
  <c r="H34" i="11"/>
  <c r="I34" i="11"/>
  <c r="J34" i="11"/>
  <c r="K34" i="11"/>
  <c r="L34" i="11"/>
  <c r="M34" i="11"/>
  <c r="O34" i="11"/>
  <c r="U34" i="11" s="1"/>
  <c r="P34" i="11"/>
  <c r="V34" i="11" s="1"/>
  <c r="W34" i="11"/>
  <c r="X34" i="11"/>
  <c r="Y34" i="11"/>
  <c r="Z34" i="11"/>
  <c r="AA34" i="11"/>
  <c r="AB34" i="11"/>
  <c r="AC34" i="11"/>
  <c r="AD34" i="11"/>
  <c r="AE34" i="11"/>
  <c r="AF34" i="11"/>
  <c r="AH34" i="11"/>
  <c r="AI34" i="11"/>
  <c r="AJ34" i="11"/>
  <c r="AK34" i="11"/>
  <c r="AL34" i="11"/>
  <c r="AM34" i="11"/>
  <c r="D35" i="11"/>
  <c r="E35" i="11"/>
  <c r="F35" i="11"/>
  <c r="G35" i="11"/>
  <c r="H35" i="11"/>
  <c r="I35" i="11"/>
  <c r="J35" i="11"/>
  <c r="K35" i="11"/>
  <c r="L35" i="11"/>
  <c r="M35" i="11"/>
  <c r="O35" i="11"/>
  <c r="U35" i="11" s="1"/>
  <c r="P35" i="11"/>
  <c r="V35" i="11" s="1"/>
  <c r="W35" i="11"/>
  <c r="X35" i="11"/>
  <c r="Y35" i="11"/>
  <c r="Z35" i="11"/>
  <c r="AA35" i="11"/>
  <c r="AB35" i="11"/>
  <c r="AC35" i="11"/>
  <c r="AD35" i="11"/>
  <c r="AE35" i="11"/>
  <c r="AF35" i="11"/>
  <c r="AH35" i="11"/>
  <c r="AI35" i="11"/>
  <c r="AJ35" i="11"/>
  <c r="AK35" i="11"/>
  <c r="AL35" i="11"/>
  <c r="AM35" i="11"/>
  <c r="D36" i="11"/>
  <c r="E36" i="11"/>
  <c r="F36" i="11"/>
  <c r="G36" i="11"/>
  <c r="H36" i="11"/>
  <c r="I36" i="11"/>
  <c r="J36" i="11"/>
  <c r="K36" i="11"/>
  <c r="L36" i="11"/>
  <c r="M36" i="11"/>
  <c r="O36" i="11"/>
  <c r="P36" i="11"/>
  <c r="V36" i="11" s="1"/>
  <c r="W36" i="11"/>
  <c r="X36" i="11"/>
  <c r="Y36" i="11"/>
  <c r="Z36" i="11"/>
  <c r="AA36" i="11"/>
  <c r="AB36" i="11"/>
  <c r="AC36" i="11"/>
  <c r="AD36" i="11"/>
  <c r="AE36" i="11"/>
  <c r="AF36" i="11"/>
  <c r="AH36" i="11"/>
  <c r="AI36" i="11"/>
  <c r="AJ36" i="11"/>
  <c r="AK36" i="11"/>
  <c r="AL36" i="11"/>
  <c r="AM36" i="11"/>
  <c r="D37" i="11"/>
  <c r="E37" i="11"/>
  <c r="F37" i="11"/>
  <c r="G37" i="11"/>
  <c r="H37" i="11"/>
  <c r="I37" i="11"/>
  <c r="J37" i="11"/>
  <c r="K37" i="11"/>
  <c r="L37" i="11"/>
  <c r="M37" i="11"/>
  <c r="O37" i="11"/>
  <c r="U37" i="11" s="1"/>
  <c r="P37" i="11"/>
  <c r="V37" i="11" s="1"/>
  <c r="W37" i="11"/>
  <c r="X37" i="11"/>
  <c r="Y37" i="11"/>
  <c r="Z37" i="11"/>
  <c r="AA37" i="11"/>
  <c r="AB37" i="11"/>
  <c r="AC37" i="11"/>
  <c r="AD37" i="11"/>
  <c r="AE37" i="11"/>
  <c r="AF37" i="11"/>
  <c r="AH37" i="11"/>
  <c r="AI37" i="11"/>
  <c r="AJ37" i="11"/>
  <c r="AK37" i="11"/>
  <c r="AL37" i="11"/>
  <c r="AM37" i="11"/>
  <c r="D38" i="11"/>
  <c r="E38" i="11"/>
  <c r="F38" i="11"/>
  <c r="G38" i="11"/>
  <c r="H38" i="11"/>
  <c r="I38" i="11"/>
  <c r="J38" i="11"/>
  <c r="K38" i="11"/>
  <c r="L38" i="11"/>
  <c r="M38" i="11"/>
  <c r="O38" i="11"/>
  <c r="P38" i="11"/>
  <c r="V38" i="11" s="1"/>
  <c r="W38" i="11"/>
  <c r="X38" i="11"/>
  <c r="Y38" i="11"/>
  <c r="Z38" i="11"/>
  <c r="AA38" i="11"/>
  <c r="AB38" i="11"/>
  <c r="AC38" i="11"/>
  <c r="AD38" i="11"/>
  <c r="AE38" i="11"/>
  <c r="AF38" i="11"/>
  <c r="AH38" i="11"/>
  <c r="AI38" i="11"/>
  <c r="AJ38" i="11"/>
  <c r="AK38" i="11"/>
  <c r="AL38" i="11"/>
  <c r="AM38" i="11"/>
  <c r="D39" i="11"/>
  <c r="E39" i="11"/>
  <c r="F39" i="11"/>
  <c r="G39" i="11"/>
  <c r="H39" i="11"/>
  <c r="I39" i="11"/>
  <c r="J39" i="11"/>
  <c r="K39" i="11"/>
  <c r="L39" i="11"/>
  <c r="M39" i="11"/>
  <c r="O39" i="11"/>
  <c r="U39" i="11" s="1"/>
  <c r="P39" i="11"/>
  <c r="V39" i="11" s="1"/>
  <c r="W39" i="11"/>
  <c r="X39" i="11"/>
  <c r="Y39" i="11"/>
  <c r="Z39" i="11"/>
  <c r="AA39" i="11"/>
  <c r="AB39" i="11"/>
  <c r="AC39" i="11"/>
  <c r="AD39" i="11"/>
  <c r="AE39" i="11"/>
  <c r="AF39" i="11"/>
  <c r="AH39" i="11"/>
  <c r="AI39" i="11"/>
  <c r="AJ39" i="11"/>
  <c r="AK39" i="11"/>
  <c r="AL39" i="11"/>
  <c r="AM39" i="11"/>
  <c r="D40" i="11"/>
  <c r="E40" i="11"/>
  <c r="F40" i="11"/>
  <c r="G40" i="11"/>
  <c r="H40" i="11"/>
  <c r="I40" i="11"/>
  <c r="J40" i="11"/>
  <c r="K40" i="11"/>
  <c r="L40" i="11"/>
  <c r="M40" i="11"/>
  <c r="O40" i="11"/>
  <c r="P40" i="11"/>
  <c r="V40" i="11" s="1"/>
  <c r="W40" i="11"/>
  <c r="X40" i="11"/>
  <c r="Y40" i="11"/>
  <c r="Z40" i="11"/>
  <c r="AA40" i="11"/>
  <c r="AB40" i="11"/>
  <c r="AC40" i="11"/>
  <c r="AD40" i="11"/>
  <c r="AE40" i="11"/>
  <c r="AF40" i="11"/>
  <c r="AH40" i="11"/>
  <c r="AI40" i="11"/>
  <c r="AJ40" i="11"/>
  <c r="AK40" i="11"/>
  <c r="AL40" i="11"/>
  <c r="AM40" i="11"/>
  <c r="D41" i="11"/>
  <c r="E41" i="11"/>
  <c r="F41" i="11"/>
  <c r="G41" i="11"/>
  <c r="H41" i="11"/>
  <c r="I41" i="11"/>
  <c r="J41" i="11"/>
  <c r="K41" i="11"/>
  <c r="L41" i="11"/>
  <c r="M41" i="11"/>
  <c r="O41" i="11"/>
  <c r="U41" i="11" s="1"/>
  <c r="P41" i="11"/>
  <c r="V41" i="11" s="1"/>
  <c r="W41" i="11"/>
  <c r="X41" i="11"/>
  <c r="Y41" i="11"/>
  <c r="Z41" i="11"/>
  <c r="AA41" i="11"/>
  <c r="AB41" i="11"/>
  <c r="AC41" i="11"/>
  <c r="AD41" i="11"/>
  <c r="AE41" i="11"/>
  <c r="AF41" i="11"/>
  <c r="AH41" i="11"/>
  <c r="AI41" i="11"/>
  <c r="AJ41" i="11"/>
  <c r="AK41" i="11"/>
  <c r="AL41" i="11"/>
  <c r="AM41" i="11"/>
  <c r="D42" i="11"/>
  <c r="E42" i="11"/>
  <c r="F42" i="11"/>
  <c r="G42" i="11"/>
  <c r="H42" i="11"/>
  <c r="I42" i="11"/>
  <c r="J42" i="11"/>
  <c r="K42" i="11"/>
  <c r="L42" i="11"/>
  <c r="M42" i="11"/>
  <c r="O42" i="11"/>
  <c r="U42" i="11" s="1"/>
  <c r="P42" i="11"/>
  <c r="V42" i="11" s="1"/>
  <c r="W42" i="11"/>
  <c r="X42" i="11"/>
  <c r="Y42" i="11"/>
  <c r="Z42" i="11"/>
  <c r="AA42" i="11"/>
  <c r="AB42" i="11"/>
  <c r="AC42" i="11"/>
  <c r="AD42" i="11"/>
  <c r="AE42" i="11"/>
  <c r="AF42" i="11"/>
  <c r="AH42" i="11"/>
  <c r="AI42" i="11"/>
  <c r="AJ42" i="11"/>
  <c r="AK42" i="11"/>
  <c r="AL42" i="11"/>
  <c r="AM42" i="11"/>
  <c r="D43" i="11"/>
  <c r="E43" i="11"/>
  <c r="F43" i="11"/>
  <c r="G43" i="11"/>
  <c r="H43" i="11"/>
  <c r="I43" i="11"/>
  <c r="J43" i="11"/>
  <c r="K43" i="11"/>
  <c r="L43" i="11"/>
  <c r="M43" i="11"/>
  <c r="O43" i="11"/>
  <c r="U43" i="11" s="1"/>
  <c r="P43" i="11"/>
  <c r="V43" i="11" s="1"/>
  <c r="W43" i="11"/>
  <c r="X43" i="11"/>
  <c r="Y43" i="11"/>
  <c r="Z43" i="11"/>
  <c r="AA43" i="11"/>
  <c r="AB43" i="11"/>
  <c r="AC43" i="11"/>
  <c r="AD43" i="11"/>
  <c r="AE43" i="11"/>
  <c r="AF43" i="11"/>
  <c r="AH43" i="11"/>
  <c r="AI43" i="11"/>
  <c r="AJ43" i="11"/>
  <c r="AK43" i="11"/>
  <c r="AL43" i="11"/>
  <c r="AM43" i="11"/>
  <c r="D44" i="11"/>
  <c r="E44" i="11"/>
  <c r="F44" i="11"/>
  <c r="G44" i="11"/>
  <c r="H44" i="11"/>
  <c r="I44" i="11"/>
  <c r="J44" i="11"/>
  <c r="K44" i="11"/>
  <c r="L44" i="11"/>
  <c r="M44" i="11"/>
  <c r="O44" i="11"/>
  <c r="P44" i="11"/>
  <c r="V44" i="11" s="1"/>
  <c r="W44" i="11"/>
  <c r="X44" i="11"/>
  <c r="Y44" i="11"/>
  <c r="Z44" i="11"/>
  <c r="AA44" i="11"/>
  <c r="AB44" i="11"/>
  <c r="AC44" i="11"/>
  <c r="AD44" i="11"/>
  <c r="AE44" i="11"/>
  <c r="AF44" i="11"/>
  <c r="AH44" i="11"/>
  <c r="AI44" i="11"/>
  <c r="AJ44" i="11"/>
  <c r="AK44" i="11"/>
  <c r="AL44" i="11"/>
  <c r="AM44" i="11"/>
  <c r="D45" i="11"/>
  <c r="E45" i="11"/>
  <c r="F45" i="11"/>
  <c r="G45" i="11"/>
  <c r="H45" i="11"/>
  <c r="I45" i="11"/>
  <c r="J45" i="11"/>
  <c r="K45" i="11"/>
  <c r="L45" i="11"/>
  <c r="M45" i="11"/>
  <c r="O45" i="11"/>
  <c r="U45" i="11" s="1"/>
  <c r="P45" i="11"/>
  <c r="V45" i="11" s="1"/>
  <c r="W45" i="11"/>
  <c r="X45" i="11"/>
  <c r="Y45" i="11"/>
  <c r="Z45" i="11"/>
  <c r="AA45" i="11"/>
  <c r="AB45" i="11"/>
  <c r="AC45" i="11"/>
  <c r="AD45" i="11"/>
  <c r="AE45" i="11"/>
  <c r="AF45" i="11"/>
  <c r="AH45" i="11"/>
  <c r="AI45" i="11"/>
  <c r="AJ45" i="11"/>
  <c r="AK45" i="11"/>
  <c r="AL45" i="11"/>
  <c r="AM45" i="11"/>
  <c r="D46" i="11"/>
  <c r="E46" i="11"/>
  <c r="F46" i="11"/>
  <c r="G46" i="11"/>
  <c r="H46" i="11"/>
  <c r="I46" i="11"/>
  <c r="J46" i="11"/>
  <c r="K46" i="11"/>
  <c r="L46" i="11"/>
  <c r="M46" i="11"/>
  <c r="O46" i="11"/>
  <c r="P46" i="11"/>
  <c r="V46" i="11" s="1"/>
  <c r="W46" i="11"/>
  <c r="X46" i="11"/>
  <c r="Y46" i="11"/>
  <c r="Z46" i="11"/>
  <c r="AA46" i="11"/>
  <c r="AB46" i="11"/>
  <c r="AC46" i="11"/>
  <c r="AD46" i="11"/>
  <c r="AE46" i="11"/>
  <c r="AF46" i="11"/>
  <c r="AH46" i="11"/>
  <c r="AI46" i="11"/>
  <c r="AJ46" i="11"/>
  <c r="AK46" i="11"/>
  <c r="AL46" i="11"/>
  <c r="AM46" i="11"/>
  <c r="D47" i="11"/>
  <c r="E47" i="11"/>
  <c r="F47" i="11"/>
  <c r="G47" i="11"/>
  <c r="H47" i="11"/>
  <c r="I47" i="11"/>
  <c r="J47" i="11"/>
  <c r="K47" i="11"/>
  <c r="L47" i="11"/>
  <c r="M47" i="11"/>
  <c r="O47" i="11"/>
  <c r="P47" i="11"/>
  <c r="V47" i="11" s="1"/>
  <c r="W47" i="11"/>
  <c r="X47" i="11"/>
  <c r="Y47" i="11"/>
  <c r="Z47" i="11"/>
  <c r="AA47" i="11"/>
  <c r="AB47" i="11"/>
  <c r="AC47" i="11"/>
  <c r="AD47" i="11"/>
  <c r="AE47" i="11"/>
  <c r="AF47" i="11"/>
  <c r="AH47" i="11"/>
  <c r="AI47" i="11"/>
  <c r="AJ47" i="11"/>
  <c r="AK47" i="11"/>
  <c r="AL47" i="11"/>
  <c r="AM47" i="11"/>
  <c r="D48" i="11"/>
  <c r="E48" i="11"/>
  <c r="F48" i="11"/>
  <c r="G48" i="11"/>
  <c r="H48" i="11"/>
  <c r="I48" i="11"/>
  <c r="J48" i="11"/>
  <c r="K48" i="11"/>
  <c r="L48" i="11"/>
  <c r="M48" i="11"/>
  <c r="O48" i="11"/>
  <c r="U48" i="11" s="1"/>
  <c r="P48" i="11"/>
  <c r="V48" i="11" s="1"/>
  <c r="W48" i="11"/>
  <c r="X48" i="11"/>
  <c r="Y48" i="11"/>
  <c r="Z48" i="11"/>
  <c r="AA48" i="11"/>
  <c r="AB48" i="11"/>
  <c r="AC48" i="11"/>
  <c r="AD48" i="11"/>
  <c r="AE48" i="11"/>
  <c r="AF48" i="11"/>
  <c r="AH48" i="11"/>
  <c r="AI48" i="11"/>
  <c r="AJ48" i="11"/>
  <c r="AK48" i="11"/>
  <c r="AL48" i="11"/>
  <c r="AM48" i="11"/>
  <c r="D49" i="11"/>
  <c r="E49" i="11"/>
  <c r="F49" i="11"/>
  <c r="G49" i="11"/>
  <c r="H49" i="11"/>
  <c r="I49" i="11"/>
  <c r="J49" i="11"/>
  <c r="K49" i="11"/>
  <c r="L49" i="11"/>
  <c r="M49" i="11"/>
  <c r="O49" i="11"/>
  <c r="U49" i="11" s="1"/>
  <c r="P49" i="11"/>
  <c r="V49" i="11" s="1"/>
  <c r="W49" i="11"/>
  <c r="X49" i="11"/>
  <c r="Y49" i="11"/>
  <c r="Z49" i="11"/>
  <c r="AA49" i="11"/>
  <c r="AB49" i="11"/>
  <c r="AC49" i="11"/>
  <c r="AD49" i="11"/>
  <c r="AE49" i="11"/>
  <c r="AF49" i="11"/>
  <c r="AH49" i="11"/>
  <c r="AI49" i="11"/>
  <c r="AJ49" i="11"/>
  <c r="AK49" i="11"/>
  <c r="AL49" i="11"/>
  <c r="AM49" i="11"/>
  <c r="D50" i="11"/>
  <c r="E50" i="11"/>
  <c r="F50" i="11"/>
  <c r="G50" i="11"/>
  <c r="H50" i="11"/>
  <c r="I50" i="11"/>
  <c r="J50" i="11"/>
  <c r="K50" i="11"/>
  <c r="L50" i="11"/>
  <c r="M50" i="11"/>
  <c r="O50" i="11"/>
  <c r="U50" i="11" s="1"/>
  <c r="P50" i="11"/>
  <c r="V50" i="11" s="1"/>
  <c r="W50" i="11"/>
  <c r="X50" i="11"/>
  <c r="Y50" i="11"/>
  <c r="Z50" i="11"/>
  <c r="AA50" i="11"/>
  <c r="AB50" i="11"/>
  <c r="AC50" i="11"/>
  <c r="AD50" i="11"/>
  <c r="AE50" i="11"/>
  <c r="AF50" i="11"/>
  <c r="AH50" i="11"/>
  <c r="AI50" i="11"/>
  <c r="AJ50" i="11"/>
  <c r="AK50" i="11"/>
  <c r="AL50" i="11"/>
  <c r="AM50" i="11"/>
  <c r="D51" i="11"/>
  <c r="E51" i="11"/>
  <c r="F51" i="11"/>
  <c r="G51" i="11"/>
  <c r="H51" i="11"/>
  <c r="I51" i="11"/>
  <c r="J51" i="11"/>
  <c r="K51" i="11"/>
  <c r="L51" i="11"/>
  <c r="M51" i="11"/>
  <c r="O51" i="11"/>
  <c r="U51" i="11" s="1"/>
  <c r="P51" i="11"/>
  <c r="V51" i="11" s="1"/>
  <c r="W51" i="11"/>
  <c r="X51" i="11"/>
  <c r="Y51" i="11"/>
  <c r="Z51" i="11"/>
  <c r="AA51" i="11"/>
  <c r="AB51" i="11"/>
  <c r="AC51" i="11"/>
  <c r="AD51" i="11"/>
  <c r="AE51" i="11"/>
  <c r="AF51" i="11"/>
  <c r="AH51" i="11"/>
  <c r="AI51" i="11"/>
  <c r="AJ51" i="11"/>
  <c r="AK51" i="11"/>
  <c r="AL51" i="11"/>
  <c r="AM51" i="11"/>
  <c r="D52" i="11"/>
  <c r="E52" i="11"/>
  <c r="F52" i="11"/>
  <c r="G52" i="11"/>
  <c r="H52" i="11"/>
  <c r="I52" i="11"/>
  <c r="J52" i="11"/>
  <c r="K52" i="11"/>
  <c r="L52" i="11"/>
  <c r="M52" i="11"/>
  <c r="O52" i="11"/>
  <c r="P52" i="11"/>
  <c r="V52" i="11" s="1"/>
  <c r="W52" i="11"/>
  <c r="X52" i="11"/>
  <c r="Y52" i="11"/>
  <c r="Z52" i="11"/>
  <c r="AA52" i="11"/>
  <c r="AB52" i="11"/>
  <c r="AC52" i="11"/>
  <c r="AD52" i="11"/>
  <c r="AE52" i="11"/>
  <c r="AF52" i="11"/>
  <c r="AH52" i="11"/>
  <c r="AI52" i="11"/>
  <c r="AJ52" i="11"/>
  <c r="AK52" i="11"/>
  <c r="AL52" i="11"/>
  <c r="AM52" i="11"/>
  <c r="D53" i="11"/>
  <c r="E53" i="11"/>
  <c r="F53" i="11"/>
  <c r="G53" i="11"/>
  <c r="H53" i="11"/>
  <c r="I53" i="11"/>
  <c r="J53" i="11"/>
  <c r="K53" i="11"/>
  <c r="L53" i="11"/>
  <c r="M53" i="11"/>
  <c r="O53" i="11"/>
  <c r="U53" i="11" s="1"/>
  <c r="P53" i="11"/>
  <c r="V53" i="11" s="1"/>
  <c r="W53" i="11"/>
  <c r="X53" i="11"/>
  <c r="Y53" i="11"/>
  <c r="Z53" i="11"/>
  <c r="AA53" i="11"/>
  <c r="AB53" i="11"/>
  <c r="AC53" i="11"/>
  <c r="AD53" i="11"/>
  <c r="AE53" i="11"/>
  <c r="AF53" i="11"/>
  <c r="AH53" i="11"/>
  <c r="AI53" i="11"/>
  <c r="AJ53" i="11"/>
  <c r="AK53" i="11"/>
  <c r="AL53" i="11"/>
  <c r="AM53" i="11"/>
  <c r="D54" i="11"/>
  <c r="E54" i="11"/>
  <c r="F54" i="11"/>
  <c r="G54" i="11"/>
  <c r="H54" i="11"/>
  <c r="I54" i="11"/>
  <c r="J54" i="11"/>
  <c r="K54" i="11"/>
  <c r="L54" i="11"/>
  <c r="M54" i="11"/>
  <c r="O54" i="11"/>
  <c r="U54" i="11" s="1"/>
  <c r="P54" i="11"/>
  <c r="W54" i="11"/>
  <c r="X54" i="11"/>
  <c r="Y54" i="11"/>
  <c r="Z54" i="11"/>
  <c r="AA54" i="11"/>
  <c r="AB54" i="11"/>
  <c r="AC54" i="11"/>
  <c r="AD54" i="11"/>
  <c r="AE54" i="11"/>
  <c r="AF54" i="11"/>
  <c r="AH54" i="11"/>
  <c r="AI54" i="11"/>
  <c r="AJ54" i="11"/>
  <c r="AK54" i="11"/>
  <c r="AL54" i="11"/>
  <c r="AM54" i="11"/>
  <c r="D55" i="11"/>
  <c r="E55" i="11"/>
  <c r="F55" i="11"/>
  <c r="G55" i="11"/>
  <c r="H55" i="11"/>
  <c r="I55" i="11"/>
  <c r="J55" i="11"/>
  <c r="K55" i="11"/>
  <c r="L55" i="11"/>
  <c r="M55" i="11"/>
  <c r="O55" i="11"/>
  <c r="P55" i="11"/>
  <c r="V55" i="11" s="1"/>
  <c r="W55" i="11"/>
  <c r="X55" i="11"/>
  <c r="Y55" i="11"/>
  <c r="Z55" i="11"/>
  <c r="AA55" i="11"/>
  <c r="AB55" i="11"/>
  <c r="AC55" i="11"/>
  <c r="AD55" i="11"/>
  <c r="AE55" i="11"/>
  <c r="AF55" i="11"/>
  <c r="AH55" i="11"/>
  <c r="AI55" i="11"/>
  <c r="AJ55" i="11"/>
  <c r="AK55" i="11"/>
  <c r="AL55" i="11"/>
  <c r="AM55" i="11"/>
  <c r="D56" i="11"/>
  <c r="E56" i="11"/>
  <c r="F56" i="11"/>
  <c r="G56" i="11"/>
  <c r="H56" i="11"/>
  <c r="I56" i="11"/>
  <c r="J56" i="11"/>
  <c r="K56" i="11"/>
  <c r="L56" i="11"/>
  <c r="M56" i="11"/>
  <c r="O56" i="11"/>
  <c r="U56" i="11" s="1"/>
  <c r="P56" i="11"/>
  <c r="V56" i="11" s="1"/>
  <c r="W56" i="11"/>
  <c r="X56" i="11"/>
  <c r="Y56" i="11"/>
  <c r="Z56" i="11"/>
  <c r="AA56" i="11"/>
  <c r="AB56" i="11"/>
  <c r="AC56" i="11"/>
  <c r="AD56" i="11"/>
  <c r="AE56" i="11"/>
  <c r="AF56" i="11"/>
  <c r="AH56" i="11"/>
  <c r="AI56" i="11"/>
  <c r="AJ56" i="11"/>
  <c r="AK56" i="11"/>
  <c r="AL56" i="11"/>
  <c r="AM56" i="11"/>
  <c r="D57" i="11"/>
  <c r="E57" i="11"/>
  <c r="F57" i="11"/>
  <c r="G57" i="11"/>
  <c r="H57" i="11"/>
  <c r="I57" i="11"/>
  <c r="J57" i="11"/>
  <c r="K57" i="11"/>
  <c r="L57" i="11"/>
  <c r="M57" i="11"/>
  <c r="O57" i="11"/>
  <c r="U57" i="11" s="1"/>
  <c r="P57" i="11"/>
  <c r="V57" i="11" s="1"/>
  <c r="W57" i="11"/>
  <c r="X57" i="11"/>
  <c r="Y57" i="11"/>
  <c r="Z57" i="11"/>
  <c r="AA57" i="11"/>
  <c r="AB57" i="11"/>
  <c r="AC57" i="11"/>
  <c r="AD57" i="11"/>
  <c r="AE57" i="11"/>
  <c r="AF57" i="11"/>
  <c r="AH57" i="11"/>
  <c r="AI57" i="11"/>
  <c r="AJ57" i="11"/>
  <c r="AK57" i="11"/>
  <c r="AL57" i="11"/>
  <c r="AM57" i="11"/>
  <c r="D58" i="11"/>
  <c r="E58" i="11"/>
  <c r="F58" i="11"/>
  <c r="G58" i="11"/>
  <c r="H58" i="11"/>
  <c r="I58" i="11"/>
  <c r="J58" i="11"/>
  <c r="K58" i="11"/>
  <c r="L58" i="11"/>
  <c r="M58" i="11"/>
  <c r="O58" i="11"/>
  <c r="P58" i="11"/>
  <c r="V58" i="11" s="1"/>
  <c r="W58" i="11"/>
  <c r="X58" i="11"/>
  <c r="Y58" i="11"/>
  <c r="Z58" i="11"/>
  <c r="AA58" i="11"/>
  <c r="AB58" i="11"/>
  <c r="AC58" i="11"/>
  <c r="AD58" i="11"/>
  <c r="AE58" i="11"/>
  <c r="AF58" i="11"/>
  <c r="AH58" i="11"/>
  <c r="AI58" i="11"/>
  <c r="AJ58" i="11"/>
  <c r="AK58" i="11"/>
  <c r="AL58" i="11"/>
  <c r="AM58" i="11"/>
  <c r="D59" i="11"/>
  <c r="E59" i="11"/>
  <c r="F59" i="11"/>
  <c r="G59" i="11"/>
  <c r="H59" i="11"/>
  <c r="I59" i="11"/>
  <c r="J59" i="11"/>
  <c r="K59" i="11"/>
  <c r="L59" i="11"/>
  <c r="M59" i="11"/>
  <c r="O59" i="11"/>
  <c r="U59" i="11" s="1"/>
  <c r="P59" i="11"/>
  <c r="V59" i="11" s="1"/>
  <c r="W59" i="11"/>
  <c r="X59" i="11"/>
  <c r="Y59" i="11"/>
  <c r="Z59" i="11"/>
  <c r="AA59" i="11"/>
  <c r="AB59" i="11"/>
  <c r="AC59" i="11"/>
  <c r="AD59" i="11"/>
  <c r="AE59" i="11"/>
  <c r="AF59" i="11"/>
  <c r="AH59" i="11"/>
  <c r="AI59" i="11"/>
  <c r="AJ59" i="11"/>
  <c r="AK59" i="11"/>
  <c r="AL59" i="11"/>
  <c r="AM59" i="11"/>
  <c r="D60" i="11"/>
  <c r="E60" i="11"/>
  <c r="F60" i="11"/>
  <c r="G60" i="11"/>
  <c r="H60" i="11"/>
  <c r="I60" i="11"/>
  <c r="J60" i="11"/>
  <c r="K60" i="11"/>
  <c r="L60" i="11"/>
  <c r="M60" i="11"/>
  <c r="O60" i="11"/>
  <c r="U60" i="11" s="1"/>
  <c r="P60" i="11"/>
  <c r="V60" i="11" s="1"/>
  <c r="W60" i="11"/>
  <c r="X60" i="11"/>
  <c r="Y60" i="11"/>
  <c r="Z60" i="11"/>
  <c r="AA60" i="11"/>
  <c r="AB60" i="11"/>
  <c r="AC60" i="11"/>
  <c r="AD60" i="11"/>
  <c r="AE60" i="11"/>
  <c r="AF60" i="11"/>
  <c r="AH60" i="11"/>
  <c r="AI60" i="11"/>
  <c r="AJ60" i="11"/>
  <c r="AK60" i="11"/>
  <c r="AL60" i="11"/>
  <c r="AM60" i="11"/>
  <c r="D61" i="11"/>
  <c r="E61" i="11"/>
  <c r="F61" i="11"/>
  <c r="G61" i="11"/>
  <c r="H61" i="11"/>
  <c r="I61" i="11"/>
  <c r="J61" i="11"/>
  <c r="K61" i="11"/>
  <c r="L61" i="11"/>
  <c r="M61" i="11"/>
  <c r="O61" i="11"/>
  <c r="P61" i="11"/>
  <c r="V61" i="11" s="1"/>
  <c r="W61" i="11"/>
  <c r="X61" i="11"/>
  <c r="Y61" i="11"/>
  <c r="Z61" i="11"/>
  <c r="AA61" i="11"/>
  <c r="AB61" i="11"/>
  <c r="AC61" i="11"/>
  <c r="AD61" i="11"/>
  <c r="AE61" i="11"/>
  <c r="AF61" i="11"/>
  <c r="AH61" i="11"/>
  <c r="AI61" i="11"/>
  <c r="AJ61" i="11"/>
  <c r="AK61" i="11"/>
  <c r="AL61" i="11"/>
  <c r="AM61" i="11"/>
  <c r="D62" i="11"/>
  <c r="E62" i="11"/>
  <c r="F62" i="11"/>
  <c r="G62" i="11"/>
  <c r="H62" i="11"/>
  <c r="I62" i="11"/>
  <c r="J62" i="11"/>
  <c r="K62" i="11"/>
  <c r="L62" i="11"/>
  <c r="M62" i="11"/>
  <c r="O62" i="11"/>
  <c r="P62" i="11"/>
  <c r="V62" i="11" s="1"/>
  <c r="W62" i="11"/>
  <c r="X62" i="11"/>
  <c r="Y62" i="11"/>
  <c r="Z62" i="11"/>
  <c r="AA62" i="11"/>
  <c r="AB62" i="11"/>
  <c r="AC62" i="11"/>
  <c r="AD62" i="11"/>
  <c r="AE62" i="11"/>
  <c r="AF62" i="11"/>
  <c r="AH62" i="11"/>
  <c r="AI62" i="11"/>
  <c r="AJ62" i="11"/>
  <c r="AK62" i="11"/>
  <c r="AL62" i="11"/>
  <c r="AM62" i="11"/>
  <c r="D63" i="11"/>
  <c r="E63" i="11"/>
  <c r="F63" i="11"/>
  <c r="G63" i="11"/>
  <c r="H63" i="11"/>
  <c r="I63" i="11"/>
  <c r="J63" i="11"/>
  <c r="K63" i="11"/>
  <c r="L63" i="11"/>
  <c r="M63" i="11"/>
  <c r="O63" i="11"/>
  <c r="U63" i="11" s="1"/>
  <c r="P63" i="11"/>
  <c r="V63" i="11" s="1"/>
  <c r="W63" i="11"/>
  <c r="X63" i="11"/>
  <c r="Y63" i="11"/>
  <c r="Z63" i="11"/>
  <c r="AA63" i="11"/>
  <c r="AB63" i="11"/>
  <c r="AC63" i="11"/>
  <c r="AD63" i="11"/>
  <c r="AE63" i="11"/>
  <c r="AF63" i="11"/>
  <c r="AH63" i="11"/>
  <c r="AI63" i="11"/>
  <c r="AJ63" i="11"/>
  <c r="AK63" i="11"/>
  <c r="AL63" i="11"/>
  <c r="AM63" i="11"/>
  <c r="D64" i="11"/>
  <c r="E64" i="11"/>
  <c r="F64" i="11"/>
  <c r="G64" i="11"/>
  <c r="H64" i="11"/>
  <c r="I64" i="11"/>
  <c r="J64" i="11"/>
  <c r="K64" i="11"/>
  <c r="L64" i="11"/>
  <c r="M64" i="11"/>
  <c r="O64" i="11"/>
  <c r="P64" i="11"/>
  <c r="V64" i="11" s="1"/>
  <c r="W64" i="11"/>
  <c r="X64" i="11"/>
  <c r="Y64" i="11"/>
  <c r="Z64" i="11"/>
  <c r="AA64" i="11"/>
  <c r="AB64" i="11"/>
  <c r="AC64" i="11"/>
  <c r="AD64" i="11"/>
  <c r="AE64" i="11"/>
  <c r="AF64" i="11"/>
  <c r="AH64" i="11"/>
  <c r="AI64" i="11"/>
  <c r="AJ64" i="11"/>
  <c r="AK64" i="11"/>
  <c r="AL64" i="11"/>
  <c r="AM64" i="11"/>
  <c r="D65" i="11"/>
  <c r="E65" i="11"/>
  <c r="F65" i="11"/>
  <c r="G65" i="11"/>
  <c r="H65" i="11"/>
  <c r="I65" i="11"/>
  <c r="J65" i="11"/>
  <c r="K65" i="11"/>
  <c r="L65" i="11"/>
  <c r="M65" i="11"/>
  <c r="O65" i="11"/>
  <c r="P65" i="11"/>
  <c r="V65" i="11" s="1"/>
  <c r="W65" i="11"/>
  <c r="X65" i="11"/>
  <c r="Y65" i="11"/>
  <c r="Z65" i="11"/>
  <c r="AA65" i="11"/>
  <c r="AB65" i="11"/>
  <c r="AC65" i="11"/>
  <c r="AD65" i="11"/>
  <c r="AE65" i="11"/>
  <c r="AF65" i="11"/>
  <c r="AH65" i="11"/>
  <c r="AI65" i="11"/>
  <c r="AJ65" i="11"/>
  <c r="AK65" i="11"/>
  <c r="AL65" i="11"/>
  <c r="AM65" i="11"/>
  <c r="D66" i="11"/>
  <c r="E66" i="11"/>
  <c r="F66" i="11"/>
  <c r="G66" i="11"/>
  <c r="H66" i="11"/>
  <c r="I66" i="11"/>
  <c r="J66" i="11"/>
  <c r="K66" i="11"/>
  <c r="L66" i="11"/>
  <c r="M66" i="11"/>
  <c r="O66" i="11"/>
  <c r="U66" i="11" s="1"/>
  <c r="P66" i="11"/>
  <c r="V66" i="11" s="1"/>
  <c r="W66" i="11"/>
  <c r="X66" i="11"/>
  <c r="Y66" i="11"/>
  <c r="Z66" i="11"/>
  <c r="AA66" i="11"/>
  <c r="AB66" i="11"/>
  <c r="AC66" i="11"/>
  <c r="AD66" i="11"/>
  <c r="AE66" i="11"/>
  <c r="AF66" i="11"/>
  <c r="AH66" i="11"/>
  <c r="AI66" i="11"/>
  <c r="AJ66" i="11"/>
  <c r="AK66" i="11"/>
  <c r="AL66" i="11"/>
  <c r="AM66" i="11"/>
  <c r="D67" i="11"/>
  <c r="E67" i="11"/>
  <c r="F67" i="11"/>
  <c r="G67" i="11"/>
  <c r="H67" i="11"/>
  <c r="I67" i="11"/>
  <c r="J67" i="11"/>
  <c r="K67" i="11"/>
  <c r="L67" i="11"/>
  <c r="M67" i="11"/>
  <c r="O67" i="11"/>
  <c r="U67" i="11" s="1"/>
  <c r="P67" i="11"/>
  <c r="V67" i="11" s="1"/>
  <c r="W67" i="11"/>
  <c r="X67" i="11"/>
  <c r="Y67" i="11"/>
  <c r="Z67" i="11"/>
  <c r="AA67" i="11"/>
  <c r="AB67" i="11"/>
  <c r="AC67" i="11"/>
  <c r="AD67" i="11"/>
  <c r="AE67" i="11"/>
  <c r="AF67" i="11"/>
  <c r="AH67" i="11"/>
  <c r="AI67" i="11"/>
  <c r="AJ67" i="11"/>
  <c r="AK67" i="11"/>
  <c r="AL67" i="11"/>
  <c r="AM67" i="11"/>
  <c r="D68" i="11"/>
  <c r="E68" i="11"/>
  <c r="F68" i="11"/>
  <c r="G68" i="11"/>
  <c r="H68" i="11"/>
  <c r="I68" i="11"/>
  <c r="J68" i="11"/>
  <c r="K68" i="11"/>
  <c r="L68" i="11"/>
  <c r="M68" i="11"/>
  <c r="O68" i="11"/>
  <c r="P68" i="11"/>
  <c r="V68" i="11" s="1"/>
  <c r="W68" i="11"/>
  <c r="X68" i="11"/>
  <c r="Y68" i="11"/>
  <c r="Z68" i="11"/>
  <c r="AA68" i="11"/>
  <c r="AB68" i="11"/>
  <c r="AC68" i="11"/>
  <c r="AD68" i="11"/>
  <c r="AE68" i="11"/>
  <c r="AF68" i="11"/>
  <c r="AH68" i="11"/>
  <c r="AI68" i="11"/>
  <c r="AJ68" i="11"/>
  <c r="AK68" i="11"/>
  <c r="AL68" i="11"/>
  <c r="AM68" i="11"/>
  <c r="D69" i="11"/>
  <c r="E69" i="11"/>
  <c r="F69" i="11"/>
  <c r="G69" i="11"/>
  <c r="H69" i="11"/>
  <c r="I69" i="11"/>
  <c r="J69" i="11"/>
  <c r="K69" i="11"/>
  <c r="L69" i="11"/>
  <c r="M69" i="11"/>
  <c r="O69" i="11"/>
  <c r="P69" i="11"/>
  <c r="V69" i="11" s="1"/>
  <c r="W69" i="11"/>
  <c r="X69" i="11"/>
  <c r="Y69" i="11"/>
  <c r="Z69" i="11"/>
  <c r="AA69" i="11"/>
  <c r="AB69" i="11"/>
  <c r="AC69" i="11"/>
  <c r="AD69" i="11"/>
  <c r="AE69" i="11"/>
  <c r="AF69" i="11"/>
  <c r="AH69" i="11"/>
  <c r="AI69" i="11"/>
  <c r="AJ69" i="11"/>
  <c r="AK69" i="11"/>
  <c r="AL69" i="11"/>
  <c r="AM69" i="11"/>
  <c r="D70" i="11"/>
  <c r="E70" i="11"/>
  <c r="F70" i="11"/>
  <c r="G70" i="11"/>
  <c r="H70" i="11"/>
  <c r="I70" i="11"/>
  <c r="J70" i="11"/>
  <c r="K70" i="11"/>
  <c r="L70" i="11"/>
  <c r="M70" i="11"/>
  <c r="O70" i="11"/>
  <c r="U70" i="11" s="1"/>
  <c r="P70" i="11"/>
  <c r="V70" i="11" s="1"/>
  <c r="W70" i="11"/>
  <c r="X70" i="11"/>
  <c r="Y70" i="11"/>
  <c r="Z70" i="11"/>
  <c r="AA70" i="11"/>
  <c r="AB70" i="11"/>
  <c r="AC70" i="11"/>
  <c r="AD70" i="11"/>
  <c r="AE70" i="11"/>
  <c r="AF70" i="11"/>
  <c r="AH70" i="11"/>
  <c r="AI70" i="11"/>
  <c r="AJ70" i="11"/>
  <c r="AK70" i="11"/>
  <c r="AL70" i="11"/>
  <c r="AM70" i="11"/>
  <c r="D71" i="11"/>
  <c r="E71" i="11"/>
  <c r="F71" i="11"/>
  <c r="G71" i="11"/>
  <c r="H71" i="11"/>
  <c r="I71" i="11"/>
  <c r="J71" i="11"/>
  <c r="K71" i="11"/>
  <c r="L71" i="11"/>
  <c r="M71" i="11"/>
  <c r="O71" i="11"/>
  <c r="U71" i="11" s="1"/>
  <c r="P71" i="11"/>
  <c r="V71" i="11" s="1"/>
  <c r="W71" i="11"/>
  <c r="X71" i="11"/>
  <c r="Y71" i="11"/>
  <c r="Z71" i="11"/>
  <c r="AA71" i="11"/>
  <c r="AB71" i="11"/>
  <c r="AC71" i="11"/>
  <c r="AD71" i="11"/>
  <c r="AE71" i="11"/>
  <c r="AF71" i="11"/>
  <c r="AH71" i="11"/>
  <c r="AI71" i="11"/>
  <c r="AJ71" i="11"/>
  <c r="AK71" i="11"/>
  <c r="AL71" i="11"/>
  <c r="AM71" i="11"/>
  <c r="D72" i="11"/>
  <c r="E72" i="11"/>
  <c r="F72" i="11"/>
  <c r="G72" i="11"/>
  <c r="H72" i="11"/>
  <c r="I72" i="11"/>
  <c r="J72" i="11"/>
  <c r="K72" i="11"/>
  <c r="L72" i="11"/>
  <c r="M72" i="11"/>
  <c r="O72" i="11"/>
  <c r="P72" i="11"/>
  <c r="V72" i="11" s="1"/>
  <c r="W72" i="11"/>
  <c r="X72" i="11"/>
  <c r="Y72" i="11"/>
  <c r="Z72" i="11"/>
  <c r="AA72" i="11"/>
  <c r="AB72" i="11"/>
  <c r="AC72" i="11"/>
  <c r="AD72" i="11"/>
  <c r="AE72" i="11"/>
  <c r="AF72" i="11"/>
  <c r="AH72" i="11"/>
  <c r="AI72" i="11"/>
  <c r="AJ72" i="11"/>
  <c r="AK72" i="11"/>
  <c r="AL72" i="11"/>
  <c r="AM72" i="11"/>
  <c r="D73" i="11"/>
  <c r="E73" i="11"/>
  <c r="F73" i="11"/>
  <c r="G73" i="11"/>
  <c r="H73" i="11"/>
  <c r="I73" i="11"/>
  <c r="J73" i="11"/>
  <c r="K73" i="11"/>
  <c r="L73" i="11"/>
  <c r="M73" i="11"/>
  <c r="O73" i="11"/>
  <c r="U73" i="11" s="1"/>
  <c r="P73" i="11"/>
  <c r="V73" i="11" s="1"/>
  <c r="W73" i="11"/>
  <c r="X73" i="11"/>
  <c r="Y73" i="11"/>
  <c r="Z73" i="11"/>
  <c r="AA73" i="11"/>
  <c r="AB73" i="11"/>
  <c r="AC73" i="11"/>
  <c r="AD73" i="11"/>
  <c r="AE73" i="11"/>
  <c r="AF73" i="11"/>
  <c r="AH73" i="11"/>
  <c r="AI73" i="11"/>
  <c r="AJ73" i="11"/>
  <c r="AK73" i="11"/>
  <c r="AL73" i="11"/>
  <c r="AM73" i="11"/>
  <c r="D74" i="11"/>
  <c r="E74" i="11"/>
  <c r="F74" i="11"/>
  <c r="G74" i="11"/>
  <c r="H74" i="11"/>
  <c r="I74" i="11"/>
  <c r="J74" i="11"/>
  <c r="K74" i="11"/>
  <c r="L74" i="11"/>
  <c r="M74" i="11"/>
  <c r="O74" i="11"/>
  <c r="U74" i="11" s="1"/>
  <c r="P74" i="11"/>
  <c r="V74" i="11" s="1"/>
  <c r="W74" i="11"/>
  <c r="X74" i="11"/>
  <c r="Y74" i="11"/>
  <c r="Z74" i="11"/>
  <c r="AA74" i="11"/>
  <c r="AB74" i="11"/>
  <c r="AC74" i="11"/>
  <c r="AD74" i="11"/>
  <c r="AE74" i="11"/>
  <c r="AF74" i="11"/>
  <c r="AH74" i="11"/>
  <c r="AI74" i="11"/>
  <c r="AJ74" i="11"/>
  <c r="AK74" i="11"/>
  <c r="AL74" i="11"/>
  <c r="AM74" i="11"/>
  <c r="D75" i="11"/>
  <c r="E75" i="11"/>
  <c r="F75" i="11"/>
  <c r="G75" i="11"/>
  <c r="H75" i="11"/>
  <c r="I75" i="11"/>
  <c r="J75" i="11"/>
  <c r="K75" i="11"/>
  <c r="L75" i="11"/>
  <c r="M75" i="11"/>
  <c r="O75" i="11"/>
  <c r="P75" i="11"/>
  <c r="V75" i="11" s="1"/>
  <c r="W75" i="11"/>
  <c r="X75" i="11"/>
  <c r="Y75" i="11"/>
  <c r="Z75" i="11"/>
  <c r="AA75" i="11"/>
  <c r="AB75" i="11"/>
  <c r="AC75" i="11"/>
  <c r="AD75" i="11"/>
  <c r="AE75" i="11"/>
  <c r="AF75" i="11"/>
  <c r="AH75" i="11"/>
  <c r="AI75" i="11"/>
  <c r="AJ75" i="11"/>
  <c r="AK75" i="11"/>
  <c r="AL75" i="11"/>
  <c r="AM75" i="11"/>
  <c r="D76" i="11"/>
  <c r="E76" i="11"/>
  <c r="F76" i="11"/>
  <c r="G76" i="11"/>
  <c r="H76" i="11"/>
  <c r="I76" i="11"/>
  <c r="J76" i="11"/>
  <c r="K76" i="11"/>
  <c r="L76" i="11"/>
  <c r="M76" i="11"/>
  <c r="O76" i="11"/>
  <c r="P76" i="11"/>
  <c r="V76" i="11" s="1"/>
  <c r="W76" i="11"/>
  <c r="X76" i="11"/>
  <c r="Y76" i="11"/>
  <c r="Z76" i="11"/>
  <c r="AA76" i="11"/>
  <c r="AB76" i="11"/>
  <c r="AC76" i="11"/>
  <c r="AD76" i="11"/>
  <c r="AE76" i="11"/>
  <c r="AF76" i="11"/>
  <c r="AH76" i="11"/>
  <c r="AI76" i="11"/>
  <c r="AJ76" i="11"/>
  <c r="AK76" i="11"/>
  <c r="AL76" i="11"/>
  <c r="AM76" i="11"/>
  <c r="D77" i="11"/>
  <c r="E77" i="11"/>
  <c r="F77" i="11"/>
  <c r="G77" i="11"/>
  <c r="H77" i="11"/>
  <c r="I77" i="11"/>
  <c r="J77" i="11"/>
  <c r="K77" i="11"/>
  <c r="L77" i="11"/>
  <c r="M77" i="11"/>
  <c r="O77" i="11"/>
  <c r="U77" i="11" s="1"/>
  <c r="P77" i="11"/>
  <c r="V77" i="11" s="1"/>
  <c r="W77" i="11"/>
  <c r="X77" i="11"/>
  <c r="Y77" i="11"/>
  <c r="Z77" i="11"/>
  <c r="AA77" i="11"/>
  <c r="AB77" i="11"/>
  <c r="AC77" i="11"/>
  <c r="AD77" i="11"/>
  <c r="AE77" i="11"/>
  <c r="AF77" i="11"/>
  <c r="AH77" i="11"/>
  <c r="AI77" i="11"/>
  <c r="AJ77" i="11"/>
  <c r="AK77" i="11"/>
  <c r="AL77" i="11"/>
  <c r="AM77" i="11"/>
  <c r="D78" i="11"/>
  <c r="E78" i="11"/>
  <c r="F78" i="11"/>
  <c r="G78" i="11"/>
  <c r="H78" i="11"/>
  <c r="I78" i="11"/>
  <c r="J78" i="11"/>
  <c r="K78" i="11"/>
  <c r="L78" i="11"/>
  <c r="M78" i="11"/>
  <c r="O78" i="11"/>
  <c r="U78" i="11" s="1"/>
  <c r="P78" i="11"/>
  <c r="V78" i="11" s="1"/>
  <c r="W78" i="11"/>
  <c r="X78" i="11"/>
  <c r="Y78" i="11"/>
  <c r="Z78" i="11"/>
  <c r="AA78" i="11"/>
  <c r="AB78" i="11"/>
  <c r="AC78" i="11"/>
  <c r="AD78" i="11"/>
  <c r="AE78" i="11"/>
  <c r="AF78" i="11"/>
  <c r="AH78" i="11"/>
  <c r="AI78" i="11"/>
  <c r="AJ78" i="11"/>
  <c r="AK78" i="11"/>
  <c r="AL78" i="11"/>
  <c r="AM78" i="11"/>
  <c r="D79" i="11"/>
  <c r="E79" i="11"/>
  <c r="F79" i="11"/>
  <c r="G79" i="11"/>
  <c r="H79" i="11"/>
  <c r="I79" i="11"/>
  <c r="J79" i="11"/>
  <c r="K79" i="11"/>
  <c r="L79" i="11"/>
  <c r="M79" i="11"/>
  <c r="O79" i="11"/>
  <c r="U79" i="11" s="1"/>
  <c r="P79" i="11"/>
  <c r="V79" i="11" s="1"/>
  <c r="W79" i="11"/>
  <c r="X79" i="11"/>
  <c r="Y79" i="11"/>
  <c r="Z79" i="11"/>
  <c r="AA79" i="11"/>
  <c r="AB79" i="11"/>
  <c r="AC79" i="11"/>
  <c r="AD79" i="11"/>
  <c r="AE79" i="11"/>
  <c r="AF79" i="11"/>
  <c r="AH79" i="11"/>
  <c r="AI79" i="11"/>
  <c r="AJ79" i="11"/>
  <c r="AK79" i="11"/>
  <c r="AL79" i="11"/>
  <c r="AM79" i="11"/>
  <c r="D80" i="11"/>
  <c r="E80" i="11"/>
  <c r="F80" i="11"/>
  <c r="G80" i="11"/>
  <c r="H80" i="11"/>
  <c r="I80" i="11"/>
  <c r="J80" i="11"/>
  <c r="K80" i="11"/>
  <c r="L80" i="11"/>
  <c r="M80" i="11"/>
  <c r="O80" i="11"/>
  <c r="P80" i="11"/>
  <c r="V80" i="11" s="1"/>
  <c r="W80" i="11"/>
  <c r="X80" i="11"/>
  <c r="Y80" i="11"/>
  <c r="Z80" i="11"/>
  <c r="AA80" i="11"/>
  <c r="AB80" i="11"/>
  <c r="AC80" i="11"/>
  <c r="AD80" i="11"/>
  <c r="AE80" i="11"/>
  <c r="AF80" i="11"/>
  <c r="AH80" i="11"/>
  <c r="AI80" i="11"/>
  <c r="AJ80" i="11"/>
  <c r="AK80" i="11"/>
  <c r="AL80" i="11"/>
  <c r="AM80" i="11"/>
  <c r="D81" i="11"/>
  <c r="E81" i="11"/>
  <c r="F81" i="11"/>
  <c r="G81" i="11"/>
  <c r="H81" i="11"/>
  <c r="I81" i="11"/>
  <c r="J81" i="11"/>
  <c r="K81" i="11"/>
  <c r="L81" i="11"/>
  <c r="M81" i="11"/>
  <c r="O81" i="11"/>
  <c r="U81" i="11" s="1"/>
  <c r="P81" i="11"/>
  <c r="V81" i="11" s="1"/>
  <c r="W81" i="11"/>
  <c r="X81" i="11"/>
  <c r="Y81" i="11"/>
  <c r="Z81" i="11"/>
  <c r="AA81" i="11"/>
  <c r="AB81" i="11"/>
  <c r="AC81" i="11"/>
  <c r="AD81" i="11"/>
  <c r="AE81" i="11"/>
  <c r="AF81" i="11"/>
  <c r="AH81" i="11"/>
  <c r="AI81" i="11"/>
  <c r="AJ81" i="11"/>
  <c r="AK81" i="11"/>
  <c r="AL81" i="11"/>
  <c r="AM81" i="11"/>
  <c r="D82" i="11"/>
  <c r="E82" i="11"/>
  <c r="F82" i="11"/>
  <c r="G82" i="11"/>
  <c r="H82" i="11"/>
  <c r="I82" i="11"/>
  <c r="J82" i="11"/>
  <c r="K82" i="11"/>
  <c r="L82" i="11"/>
  <c r="M82" i="11"/>
  <c r="O82" i="11"/>
  <c r="P82" i="11"/>
  <c r="V82" i="11" s="1"/>
  <c r="W82" i="11"/>
  <c r="X82" i="11"/>
  <c r="Y82" i="11"/>
  <c r="Z82" i="11"/>
  <c r="AA82" i="11"/>
  <c r="AB82" i="11"/>
  <c r="AC82" i="11"/>
  <c r="AD82" i="11"/>
  <c r="AE82" i="11"/>
  <c r="AF82" i="11"/>
  <c r="AH82" i="11"/>
  <c r="AI82" i="11"/>
  <c r="AJ82" i="11"/>
  <c r="AK82" i="11"/>
  <c r="AL82" i="11"/>
  <c r="AM82" i="11"/>
  <c r="D83" i="11"/>
  <c r="E83" i="11"/>
  <c r="F83" i="11"/>
  <c r="G83" i="11"/>
  <c r="H83" i="11"/>
  <c r="I83" i="11"/>
  <c r="J83" i="11"/>
  <c r="K83" i="11"/>
  <c r="L83" i="11"/>
  <c r="M83" i="11"/>
  <c r="O83" i="11"/>
  <c r="U83" i="11" s="1"/>
  <c r="P83" i="11"/>
  <c r="V83" i="11" s="1"/>
  <c r="W83" i="11"/>
  <c r="X83" i="11"/>
  <c r="Y83" i="11"/>
  <c r="Z83" i="11"/>
  <c r="AA83" i="11"/>
  <c r="AB83" i="11"/>
  <c r="AC83" i="11"/>
  <c r="AD83" i="11"/>
  <c r="AE83" i="11"/>
  <c r="AF83" i="11"/>
  <c r="AH83" i="11"/>
  <c r="AI83" i="11"/>
  <c r="AJ83" i="11"/>
  <c r="AK83" i="11"/>
  <c r="AL83" i="11"/>
  <c r="AM83" i="11"/>
  <c r="D84" i="11"/>
  <c r="E84" i="11"/>
  <c r="F84" i="11"/>
  <c r="G84" i="11"/>
  <c r="H84" i="11"/>
  <c r="I84" i="11"/>
  <c r="J84" i="11"/>
  <c r="K84" i="11"/>
  <c r="L84" i="11"/>
  <c r="M84" i="11"/>
  <c r="O84" i="11"/>
  <c r="U84" i="11" s="1"/>
  <c r="P84" i="11"/>
  <c r="V84" i="11" s="1"/>
  <c r="W84" i="11"/>
  <c r="X84" i="11"/>
  <c r="Y84" i="11"/>
  <c r="Z84" i="11"/>
  <c r="AA84" i="11"/>
  <c r="AB84" i="11"/>
  <c r="AC84" i="11"/>
  <c r="AD84" i="11"/>
  <c r="AE84" i="11"/>
  <c r="AF84" i="11"/>
  <c r="AH84" i="11"/>
  <c r="AI84" i="11"/>
  <c r="AJ84" i="11"/>
  <c r="AK84" i="11"/>
  <c r="AL84" i="11"/>
  <c r="AM84" i="11"/>
  <c r="D85" i="11"/>
  <c r="E85" i="11"/>
  <c r="F85" i="11"/>
  <c r="G85" i="11"/>
  <c r="H85" i="11"/>
  <c r="I85" i="11"/>
  <c r="J85" i="11"/>
  <c r="K85" i="11"/>
  <c r="L85" i="11"/>
  <c r="M85" i="11"/>
  <c r="O85" i="11"/>
  <c r="U85" i="11" s="1"/>
  <c r="P85" i="11"/>
  <c r="V85" i="11" s="1"/>
  <c r="W85" i="11"/>
  <c r="X85" i="11"/>
  <c r="Y85" i="11"/>
  <c r="Z85" i="11"/>
  <c r="AA85" i="11"/>
  <c r="AB85" i="11"/>
  <c r="AC85" i="11"/>
  <c r="AD85" i="11"/>
  <c r="AE85" i="11"/>
  <c r="AF85" i="11"/>
  <c r="AH85" i="11"/>
  <c r="AI85" i="11"/>
  <c r="AJ85" i="11"/>
  <c r="AK85" i="11"/>
  <c r="AL85" i="11"/>
  <c r="AM85" i="11"/>
  <c r="D86" i="11"/>
  <c r="E86" i="11"/>
  <c r="F86" i="11"/>
  <c r="G86" i="11"/>
  <c r="H86" i="11"/>
  <c r="I86" i="11"/>
  <c r="J86" i="11"/>
  <c r="K86" i="11"/>
  <c r="L86" i="11"/>
  <c r="M86" i="11"/>
  <c r="O86" i="11"/>
  <c r="P86" i="11"/>
  <c r="V86" i="11" s="1"/>
  <c r="W86" i="11"/>
  <c r="X86" i="11"/>
  <c r="Y86" i="11"/>
  <c r="Z86" i="11"/>
  <c r="AA86" i="11"/>
  <c r="AB86" i="11"/>
  <c r="AC86" i="11"/>
  <c r="AD86" i="11"/>
  <c r="AE86" i="11"/>
  <c r="AF86" i="11"/>
  <c r="AH86" i="11"/>
  <c r="AI86" i="11"/>
  <c r="AJ86" i="11"/>
  <c r="AK86" i="11"/>
  <c r="AL86" i="11"/>
  <c r="AM86" i="11"/>
  <c r="D87" i="11"/>
  <c r="E87" i="11"/>
  <c r="F87" i="11"/>
  <c r="G87" i="11"/>
  <c r="H87" i="11"/>
  <c r="I87" i="11"/>
  <c r="J87" i="11"/>
  <c r="K87" i="11"/>
  <c r="L87" i="11"/>
  <c r="M87" i="11"/>
  <c r="O87" i="11"/>
  <c r="U87" i="11" s="1"/>
  <c r="P87" i="11"/>
  <c r="V87" i="11" s="1"/>
  <c r="W87" i="11"/>
  <c r="X87" i="11"/>
  <c r="Y87" i="11"/>
  <c r="Z87" i="11"/>
  <c r="AA87" i="11"/>
  <c r="AB87" i="11"/>
  <c r="AC87" i="11"/>
  <c r="AD87" i="11"/>
  <c r="AE87" i="11"/>
  <c r="AF87" i="11"/>
  <c r="AH87" i="11"/>
  <c r="AI87" i="11"/>
  <c r="AJ87" i="11"/>
  <c r="AK87" i="11"/>
  <c r="AL87" i="11"/>
  <c r="AM87" i="11"/>
  <c r="D88" i="11"/>
  <c r="E88" i="11"/>
  <c r="F88" i="11"/>
  <c r="G88" i="11"/>
  <c r="H88" i="11"/>
  <c r="I88" i="11"/>
  <c r="J88" i="11"/>
  <c r="K88" i="11"/>
  <c r="L88" i="11"/>
  <c r="M88" i="11"/>
  <c r="O88" i="11"/>
  <c r="P88" i="11"/>
  <c r="V88" i="11" s="1"/>
  <c r="W88" i="11"/>
  <c r="X88" i="11"/>
  <c r="Y88" i="11"/>
  <c r="Z88" i="11"/>
  <c r="AA88" i="11"/>
  <c r="AB88" i="11"/>
  <c r="AC88" i="11"/>
  <c r="AD88" i="11"/>
  <c r="AE88" i="11"/>
  <c r="AF88" i="11"/>
  <c r="AH88" i="11"/>
  <c r="AI88" i="11"/>
  <c r="AJ88" i="11"/>
  <c r="AK88" i="11"/>
  <c r="AL88" i="11"/>
  <c r="AM88" i="11"/>
  <c r="D89" i="11"/>
  <c r="E89" i="11"/>
  <c r="F89" i="11"/>
  <c r="G89" i="11"/>
  <c r="H89" i="11"/>
  <c r="I89" i="11"/>
  <c r="J89" i="11"/>
  <c r="K89" i="11"/>
  <c r="L89" i="11"/>
  <c r="M89" i="11"/>
  <c r="O89" i="11"/>
  <c r="P89" i="11"/>
  <c r="V89" i="11" s="1"/>
  <c r="W89" i="11"/>
  <c r="X89" i="11"/>
  <c r="Y89" i="11"/>
  <c r="Z89" i="11"/>
  <c r="AA89" i="11"/>
  <c r="AB89" i="11"/>
  <c r="AC89" i="11"/>
  <c r="AD89" i="11"/>
  <c r="AE89" i="11"/>
  <c r="AF89" i="11"/>
  <c r="AH89" i="11"/>
  <c r="AI89" i="11"/>
  <c r="AJ89" i="11"/>
  <c r="AK89" i="11"/>
  <c r="AL89" i="11"/>
  <c r="AM89" i="11"/>
  <c r="D90" i="11"/>
  <c r="E90" i="11"/>
  <c r="F90" i="11"/>
  <c r="G90" i="11"/>
  <c r="H90" i="11"/>
  <c r="I90" i="11"/>
  <c r="J90" i="11"/>
  <c r="K90" i="11"/>
  <c r="L90" i="11"/>
  <c r="M90" i="11"/>
  <c r="O90" i="11"/>
  <c r="U90" i="11" s="1"/>
  <c r="P90" i="11"/>
  <c r="V90" i="11" s="1"/>
  <c r="W90" i="11"/>
  <c r="X90" i="11"/>
  <c r="Y90" i="11"/>
  <c r="Z90" i="11"/>
  <c r="AA90" i="11"/>
  <c r="AB90" i="11"/>
  <c r="AC90" i="11"/>
  <c r="AD90" i="11"/>
  <c r="AE90" i="11"/>
  <c r="AF90" i="11"/>
  <c r="AH90" i="11"/>
  <c r="AI90" i="11"/>
  <c r="AJ90" i="11"/>
  <c r="AK90" i="11"/>
  <c r="AL90" i="11"/>
  <c r="AM90" i="11"/>
  <c r="D91" i="11"/>
  <c r="E91" i="11"/>
  <c r="F91" i="11"/>
  <c r="G91" i="11"/>
  <c r="H91" i="11"/>
  <c r="I91" i="11"/>
  <c r="J91" i="11"/>
  <c r="K91" i="11"/>
  <c r="L91" i="11"/>
  <c r="M91" i="11"/>
  <c r="O91" i="11"/>
  <c r="U91" i="11" s="1"/>
  <c r="P91" i="11"/>
  <c r="V91" i="11" s="1"/>
  <c r="W91" i="11"/>
  <c r="X91" i="11"/>
  <c r="Y91" i="11"/>
  <c r="Z91" i="11"/>
  <c r="AA91" i="11"/>
  <c r="AB91" i="11"/>
  <c r="AC91" i="11"/>
  <c r="AD91" i="11"/>
  <c r="AE91" i="11"/>
  <c r="AF91" i="11"/>
  <c r="AH91" i="11"/>
  <c r="AI91" i="11"/>
  <c r="AJ91" i="11"/>
  <c r="AK91" i="11"/>
  <c r="AL91" i="11"/>
  <c r="AM91" i="11"/>
  <c r="D92" i="11"/>
  <c r="E92" i="11"/>
  <c r="F92" i="11"/>
  <c r="G92" i="11"/>
  <c r="H92" i="11"/>
  <c r="I92" i="11"/>
  <c r="J92" i="11"/>
  <c r="K92" i="11"/>
  <c r="L92" i="11"/>
  <c r="M92" i="11"/>
  <c r="O92" i="11"/>
  <c r="U92" i="11" s="1"/>
  <c r="P92" i="11"/>
  <c r="V92" i="11" s="1"/>
  <c r="W92" i="11"/>
  <c r="X92" i="11"/>
  <c r="Y92" i="11"/>
  <c r="Z92" i="11"/>
  <c r="AA92" i="11"/>
  <c r="AB92" i="11"/>
  <c r="AC92" i="11"/>
  <c r="AD92" i="11"/>
  <c r="AE92" i="11"/>
  <c r="AF92" i="11"/>
  <c r="AH92" i="11"/>
  <c r="AI92" i="11"/>
  <c r="AJ92" i="11"/>
  <c r="AK92" i="11"/>
  <c r="AL92" i="11"/>
  <c r="AM92" i="11"/>
  <c r="D93" i="11"/>
  <c r="E93" i="11"/>
  <c r="F93" i="11"/>
  <c r="G93" i="11"/>
  <c r="H93" i="11"/>
  <c r="I93" i="11"/>
  <c r="J93" i="11"/>
  <c r="K93" i="11"/>
  <c r="L93" i="11"/>
  <c r="M93" i="11"/>
  <c r="O93" i="11"/>
  <c r="P93" i="11"/>
  <c r="V93" i="11" s="1"/>
  <c r="W93" i="11"/>
  <c r="X93" i="11"/>
  <c r="Y93" i="11"/>
  <c r="Z93" i="11"/>
  <c r="AA93" i="11"/>
  <c r="AB93" i="11"/>
  <c r="AC93" i="11"/>
  <c r="AD93" i="11"/>
  <c r="AE93" i="11"/>
  <c r="AF93" i="11"/>
  <c r="AH93" i="11"/>
  <c r="AI93" i="11"/>
  <c r="AJ93" i="11"/>
  <c r="AK93" i="11"/>
  <c r="AL93" i="11"/>
  <c r="AM93" i="11"/>
  <c r="D94" i="11"/>
  <c r="E94" i="11"/>
  <c r="F94" i="11"/>
  <c r="G94" i="11"/>
  <c r="H94" i="11"/>
  <c r="I94" i="11"/>
  <c r="J94" i="11"/>
  <c r="K94" i="11"/>
  <c r="L94" i="11"/>
  <c r="M94" i="11"/>
  <c r="O94" i="11"/>
  <c r="P94" i="11"/>
  <c r="V94" i="11" s="1"/>
  <c r="W94" i="11"/>
  <c r="X94" i="11"/>
  <c r="Y94" i="11"/>
  <c r="Z94" i="11"/>
  <c r="AA94" i="11"/>
  <c r="AB94" i="11"/>
  <c r="AC94" i="11"/>
  <c r="AD94" i="11"/>
  <c r="AE94" i="11"/>
  <c r="AF94" i="11"/>
  <c r="AH94" i="11"/>
  <c r="AI94" i="11"/>
  <c r="AJ94" i="11"/>
  <c r="AK94" i="11"/>
  <c r="AL94" i="11"/>
  <c r="AM94" i="11"/>
  <c r="D95" i="11"/>
  <c r="E95" i="11"/>
  <c r="F95" i="11"/>
  <c r="G95" i="11"/>
  <c r="H95" i="11"/>
  <c r="I95" i="11"/>
  <c r="J95" i="11"/>
  <c r="K95" i="11"/>
  <c r="L95" i="11"/>
  <c r="M95" i="11"/>
  <c r="O95" i="11"/>
  <c r="U95" i="11" s="1"/>
  <c r="P95" i="11"/>
  <c r="V95" i="11" s="1"/>
  <c r="W95" i="11"/>
  <c r="X95" i="11"/>
  <c r="Y95" i="11"/>
  <c r="Z95" i="11"/>
  <c r="AA95" i="11"/>
  <c r="AB95" i="11"/>
  <c r="AC95" i="11"/>
  <c r="AD95" i="11"/>
  <c r="AE95" i="11"/>
  <c r="AF95" i="11"/>
  <c r="AH95" i="11"/>
  <c r="AI95" i="11"/>
  <c r="AJ95" i="11"/>
  <c r="AK95" i="11"/>
  <c r="AL95" i="11"/>
  <c r="AM95" i="11"/>
  <c r="D96" i="11"/>
  <c r="E96" i="11"/>
  <c r="F96" i="11"/>
  <c r="G96" i="11"/>
  <c r="H96" i="11"/>
  <c r="I96" i="11"/>
  <c r="J96" i="11"/>
  <c r="K96" i="11"/>
  <c r="L96" i="11"/>
  <c r="M96" i="11"/>
  <c r="O96" i="11"/>
  <c r="P96" i="11"/>
  <c r="V96" i="11" s="1"/>
  <c r="W96" i="11"/>
  <c r="X96" i="11"/>
  <c r="Y96" i="11"/>
  <c r="Z96" i="11"/>
  <c r="AA96" i="11"/>
  <c r="AB96" i="11"/>
  <c r="AC96" i="11"/>
  <c r="AD96" i="11"/>
  <c r="AE96" i="11"/>
  <c r="AF96" i="11"/>
  <c r="AH96" i="11"/>
  <c r="AI96" i="11"/>
  <c r="AJ96" i="11"/>
  <c r="AK96" i="11"/>
  <c r="AL96" i="11"/>
  <c r="AM96" i="11"/>
  <c r="D97" i="11"/>
  <c r="E97" i="11"/>
  <c r="F97" i="11"/>
  <c r="G97" i="11"/>
  <c r="H97" i="11"/>
  <c r="I97" i="11"/>
  <c r="J97" i="11"/>
  <c r="K97" i="11"/>
  <c r="L97" i="11"/>
  <c r="M97" i="11"/>
  <c r="O97" i="11"/>
  <c r="U97" i="11" s="1"/>
  <c r="P97" i="11"/>
  <c r="V97" i="11" s="1"/>
  <c r="W97" i="11"/>
  <c r="X97" i="11"/>
  <c r="Y97" i="11"/>
  <c r="Z97" i="11"/>
  <c r="AA97" i="11"/>
  <c r="AB97" i="11"/>
  <c r="AC97" i="11"/>
  <c r="AD97" i="11"/>
  <c r="AE97" i="11"/>
  <c r="AF97" i="11"/>
  <c r="AH97" i="11"/>
  <c r="AI97" i="11"/>
  <c r="AJ97" i="11"/>
  <c r="AK97" i="11"/>
  <c r="AL97" i="11"/>
  <c r="AM97" i="11"/>
  <c r="D98" i="11"/>
  <c r="E98" i="11"/>
  <c r="F98" i="11"/>
  <c r="G98" i="11"/>
  <c r="H98" i="11"/>
  <c r="I98" i="11"/>
  <c r="J98" i="11"/>
  <c r="K98" i="11"/>
  <c r="L98" i="11"/>
  <c r="M98" i="11"/>
  <c r="O98" i="11"/>
  <c r="U98" i="11" s="1"/>
  <c r="P98" i="11"/>
  <c r="V98" i="11" s="1"/>
  <c r="W98" i="11"/>
  <c r="X98" i="11"/>
  <c r="Y98" i="11"/>
  <c r="Z98" i="11"/>
  <c r="AA98" i="11"/>
  <c r="AB98" i="11"/>
  <c r="AC98" i="11"/>
  <c r="AD98" i="11"/>
  <c r="AE98" i="11"/>
  <c r="AF98" i="11"/>
  <c r="AH98" i="11"/>
  <c r="AI98" i="11"/>
  <c r="AJ98" i="11"/>
  <c r="AK98" i="11"/>
  <c r="AL98" i="11"/>
  <c r="AM98" i="11"/>
  <c r="D99" i="11"/>
  <c r="E99" i="11"/>
  <c r="F99" i="11"/>
  <c r="G99" i="11"/>
  <c r="H99" i="11"/>
  <c r="I99" i="11"/>
  <c r="J99" i="11"/>
  <c r="K99" i="11"/>
  <c r="L99" i="11"/>
  <c r="M99" i="11"/>
  <c r="O99" i="11"/>
  <c r="U99" i="11" s="1"/>
  <c r="P99" i="11"/>
  <c r="V99" i="11" s="1"/>
  <c r="W99" i="11"/>
  <c r="X99" i="11"/>
  <c r="Y99" i="11"/>
  <c r="Z99" i="11"/>
  <c r="AA99" i="11"/>
  <c r="AB99" i="11"/>
  <c r="AC99" i="11"/>
  <c r="AD99" i="11"/>
  <c r="AE99" i="11"/>
  <c r="AF99" i="11"/>
  <c r="AH99" i="11"/>
  <c r="AI99" i="11"/>
  <c r="AJ99" i="11"/>
  <c r="AK99" i="11"/>
  <c r="AL99" i="11"/>
  <c r="AM99" i="11"/>
  <c r="D100" i="11"/>
  <c r="E100" i="11"/>
  <c r="F100" i="11"/>
  <c r="G100" i="11"/>
  <c r="H100" i="11"/>
  <c r="I100" i="11"/>
  <c r="J100" i="11"/>
  <c r="K100" i="11"/>
  <c r="L100" i="11"/>
  <c r="M100" i="11"/>
  <c r="O100" i="11"/>
  <c r="P100" i="11"/>
  <c r="V100" i="11" s="1"/>
  <c r="W100" i="11"/>
  <c r="X100" i="11"/>
  <c r="Y100" i="11"/>
  <c r="Z100" i="11"/>
  <c r="AA100" i="11"/>
  <c r="AB100" i="11"/>
  <c r="AC100" i="11"/>
  <c r="AD100" i="11"/>
  <c r="AE100" i="11"/>
  <c r="AF100" i="11"/>
  <c r="AH100" i="11"/>
  <c r="AI100" i="11"/>
  <c r="AJ100" i="11"/>
  <c r="AK100" i="11"/>
  <c r="AL100" i="11"/>
  <c r="AM100" i="11"/>
  <c r="D101" i="11"/>
  <c r="E101" i="11"/>
  <c r="F101" i="11"/>
  <c r="G101" i="11"/>
  <c r="H101" i="11"/>
  <c r="I101" i="11"/>
  <c r="J101" i="11"/>
  <c r="K101" i="11"/>
  <c r="L101" i="11"/>
  <c r="M101" i="11"/>
  <c r="O101" i="11"/>
  <c r="U101" i="11" s="1"/>
  <c r="P101" i="11"/>
  <c r="V101" i="11" s="1"/>
  <c r="W101" i="11"/>
  <c r="X101" i="11"/>
  <c r="Y101" i="11"/>
  <c r="Z101" i="11"/>
  <c r="AA101" i="11"/>
  <c r="AB101" i="11"/>
  <c r="AC101" i="11"/>
  <c r="AD101" i="11"/>
  <c r="AE101" i="11"/>
  <c r="AF101" i="11"/>
  <c r="AH101" i="11"/>
  <c r="AI101" i="11"/>
  <c r="AJ101" i="11"/>
  <c r="AK101" i="11"/>
  <c r="AL101" i="11"/>
  <c r="AM101" i="11"/>
  <c r="D102" i="11"/>
  <c r="E102" i="11"/>
  <c r="F102" i="11"/>
  <c r="G102" i="11"/>
  <c r="H102" i="11"/>
  <c r="I102" i="11"/>
  <c r="J102" i="11"/>
  <c r="K102" i="11"/>
  <c r="L102" i="11"/>
  <c r="M102" i="11"/>
  <c r="O102" i="11"/>
  <c r="U102" i="11" s="1"/>
  <c r="P102" i="11"/>
  <c r="V102" i="11" s="1"/>
  <c r="W102" i="11"/>
  <c r="X102" i="11"/>
  <c r="Y102" i="11"/>
  <c r="Z102" i="11"/>
  <c r="AA102" i="11"/>
  <c r="AB102" i="11"/>
  <c r="AC102" i="11"/>
  <c r="AD102" i="11"/>
  <c r="AE102" i="11"/>
  <c r="AF102" i="11"/>
  <c r="AH102" i="11"/>
  <c r="AI102" i="11"/>
  <c r="AJ102" i="11"/>
  <c r="AK102" i="11"/>
  <c r="AL102" i="11"/>
  <c r="AM102" i="11"/>
  <c r="D103" i="11"/>
  <c r="E103" i="11"/>
  <c r="F103" i="11"/>
  <c r="G103" i="11"/>
  <c r="H103" i="11"/>
  <c r="I103" i="11"/>
  <c r="J103" i="11"/>
  <c r="K103" i="11"/>
  <c r="L103" i="11"/>
  <c r="M103" i="11"/>
  <c r="O103" i="11"/>
  <c r="P103" i="11"/>
  <c r="V103" i="11" s="1"/>
  <c r="W103" i="11"/>
  <c r="X103" i="11"/>
  <c r="Y103" i="11"/>
  <c r="Z103" i="11"/>
  <c r="AA103" i="11"/>
  <c r="AB103" i="11"/>
  <c r="AC103" i="11"/>
  <c r="AD103" i="11"/>
  <c r="AE103" i="11"/>
  <c r="AF103" i="11"/>
  <c r="AH103" i="11"/>
  <c r="AI103" i="11"/>
  <c r="AJ103" i="11"/>
  <c r="AK103" i="11"/>
  <c r="AL103" i="11"/>
  <c r="AM103" i="11"/>
  <c r="D104" i="11"/>
  <c r="E104" i="11"/>
  <c r="F104" i="11"/>
  <c r="G104" i="11"/>
  <c r="H104" i="11"/>
  <c r="I104" i="11"/>
  <c r="J104" i="11"/>
  <c r="K104" i="11"/>
  <c r="L104" i="11"/>
  <c r="M104" i="11"/>
  <c r="O104" i="11"/>
  <c r="U104" i="11" s="1"/>
  <c r="P104" i="11"/>
  <c r="V104" i="11" s="1"/>
  <c r="W104" i="11"/>
  <c r="X104" i="11"/>
  <c r="Y104" i="11"/>
  <c r="Z104" i="11"/>
  <c r="AA104" i="11"/>
  <c r="AB104" i="11"/>
  <c r="AC104" i="11"/>
  <c r="AD104" i="11"/>
  <c r="AE104" i="11"/>
  <c r="AF104" i="11"/>
  <c r="AH104" i="11"/>
  <c r="AI104" i="11"/>
  <c r="AJ104" i="11"/>
  <c r="AK104" i="11"/>
  <c r="AL104" i="11"/>
  <c r="AM104" i="11"/>
  <c r="D105" i="11"/>
  <c r="E105" i="11"/>
  <c r="F105" i="11"/>
  <c r="G105" i="11"/>
  <c r="H105" i="11"/>
  <c r="I105" i="11"/>
  <c r="J105" i="11"/>
  <c r="K105" i="11"/>
  <c r="L105" i="11"/>
  <c r="M105" i="11"/>
  <c r="O105" i="11"/>
  <c r="P105" i="11"/>
  <c r="V105" i="11" s="1"/>
  <c r="W105" i="11"/>
  <c r="X105" i="11"/>
  <c r="Y105" i="11"/>
  <c r="Z105" i="11"/>
  <c r="AA105" i="11"/>
  <c r="AB105" i="11"/>
  <c r="AC105" i="11"/>
  <c r="AD105" i="11"/>
  <c r="AE105" i="11"/>
  <c r="AF105" i="11"/>
  <c r="AH105" i="11"/>
  <c r="AI105" i="11"/>
  <c r="AJ105" i="11"/>
  <c r="AK105" i="11"/>
  <c r="AL105" i="11"/>
  <c r="AM105" i="11"/>
  <c r="D106" i="11"/>
  <c r="E106" i="11"/>
  <c r="F106" i="11"/>
  <c r="G106" i="11"/>
  <c r="H106" i="11"/>
  <c r="I106" i="11"/>
  <c r="J106" i="11"/>
  <c r="K106" i="11"/>
  <c r="L106" i="11"/>
  <c r="M106" i="11"/>
  <c r="O106" i="11"/>
  <c r="P106" i="11"/>
  <c r="V106" i="11" s="1"/>
  <c r="W106" i="11"/>
  <c r="X106" i="11"/>
  <c r="Y106" i="11"/>
  <c r="Z106" i="11"/>
  <c r="AA106" i="11"/>
  <c r="AB106" i="11"/>
  <c r="AC106" i="11"/>
  <c r="AD106" i="11"/>
  <c r="AE106" i="11"/>
  <c r="AF106" i="11"/>
  <c r="AH106" i="11"/>
  <c r="AI106" i="11"/>
  <c r="AJ106" i="11"/>
  <c r="AK106" i="11"/>
  <c r="AL106" i="11"/>
  <c r="AM106" i="11"/>
  <c r="D107" i="11"/>
  <c r="E107" i="11"/>
  <c r="F107" i="11"/>
  <c r="G107" i="11"/>
  <c r="H107" i="11"/>
  <c r="I107" i="11"/>
  <c r="J107" i="11"/>
  <c r="K107" i="11"/>
  <c r="L107" i="11"/>
  <c r="M107" i="11"/>
  <c r="O107" i="11"/>
  <c r="P107" i="11"/>
  <c r="V107" i="11" s="1"/>
  <c r="W107" i="11"/>
  <c r="X107" i="11"/>
  <c r="Y107" i="11"/>
  <c r="Z107" i="11"/>
  <c r="AA107" i="11"/>
  <c r="AB107" i="11"/>
  <c r="AC107" i="11"/>
  <c r="AD107" i="11"/>
  <c r="AE107" i="11"/>
  <c r="AF107" i="11"/>
  <c r="AH107" i="11"/>
  <c r="AI107" i="11"/>
  <c r="AJ107" i="11"/>
  <c r="AK107" i="11"/>
  <c r="AL107" i="11"/>
  <c r="AM107" i="11"/>
  <c r="D108" i="11"/>
  <c r="E108" i="11"/>
  <c r="F108" i="11"/>
  <c r="G108" i="11"/>
  <c r="H108" i="11"/>
  <c r="I108" i="11"/>
  <c r="J108" i="11"/>
  <c r="K108" i="11"/>
  <c r="L108" i="11"/>
  <c r="M108" i="11"/>
  <c r="O108" i="11"/>
  <c r="P108" i="11"/>
  <c r="V108" i="11" s="1"/>
  <c r="W108" i="11"/>
  <c r="X108" i="11"/>
  <c r="Y108" i="11"/>
  <c r="Z108" i="11"/>
  <c r="AA108" i="11"/>
  <c r="AB108" i="11"/>
  <c r="AC108" i="11"/>
  <c r="AD108" i="11"/>
  <c r="AE108" i="11"/>
  <c r="AF108" i="11"/>
  <c r="AH108" i="11"/>
  <c r="AI108" i="11"/>
  <c r="AJ108" i="11"/>
  <c r="AK108" i="11"/>
  <c r="AL108" i="11"/>
  <c r="AM108" i="11"/>
  <c r="D109" i="11"/>
  <c r="E109" i="11"/>
  <c r="F109" i="11"/>
  <c r="G109" i="11"/>
  <c r="H109" i="11"/>
  <c r="I109" i="11"/>
  <c r="J109" i="11"/>
  <c r="K109" i="11"/>
  <c r="L109" i="11"/>
  <c r="M109" i="11"/>
  <c r="O109" i="11"/>
  <c r="U109" i="11" s="1"/>
  <c r="P109" i="11"/>
  <c r="V109" i="11" s="1"/>
  <c r="W109" i="11"/>
  <c r="X109" i="11"/>
  <c r="Y109" i="11"/>
  <c r="Z109" i="11"/>
  <c r="AA109" i="11"/>
  <c r="AB109" i="11"/>
  <c r="AC109" i="11"/>
  <c r="AD109" i="11"/>
  <c r="AE109" i="11"/>
  <c r="AF109" i="11"/>
  <c r="AH109" i="11"/>
  <c r="AI109" i="11"/>
  <c r="AJ109" i="11"/>
  <c r="AK109" i="11"/>
  <c r="AL109" i="11"/>
  <c r="AM109" i="11"/>
  <c r="D110" i="11"/>
  <c r="E110" i="11"/>
  <c r="F110" i="11"/>
  <c r="G110" i="11"/>
  <c r="H110" i="11"/>
  <c r="I110" i="11"/>
  <c r="J110" i="11"/>
  <c r="K110" i="11"/>
  <c r="L110" i="11"/>
  <c r="M110" i="11"/>
  <c r="O110" i="11"/>
  <c r="U110" i="11" s="1"/>
  <c r="P110" i="11"/>
  <c r="V110" i="11" s="1"/>
  <c r="W110" i="11"/>
  <c r="X110" i="11"/>
  <c r="Y110" i="11"/>
  <c r="Z110" i="11"/>
  <c r="AA110" i="11"/>
  <c r="AB110" i="11"/>
  <c r="AC110" i="11"/>
  <c r="AD110" i="11"/>
  <c r="AE110" i="11"/>
  <c r="AF110" i="11"/>
  <c r="AH110" i="11"/>
  <c r="AI110" i="11"/>
  <c r="AJ110" i="11"/>
  <c r="AK110" i="11"/>
  <c r="AL110" i="11"/>
  <c r="AM110" i="11"/>
  <c r="D111" i="11"/>
  <c r="E111" i="11"/>
  <c r="F111" i="11"/>
  <c r="G111" i="11"/>
  <c r="H111" i="11"/>
  <c r="I111" i="11"/>
  <c r="J111" i="11"/>
  <c r="K111" i="11"/>
  <c r="L111" i="11"/>
  <c r="M111" i="11"/>
  <c r="O111" i="11"/>
  <c r="U111" i="11" s="1"/>
  <c r="P111" i="11"/>
  <c r="V111" i="11" s="1"/>
  <c r="W111" i="11"/>
  <c r="X111" i="11"/>
  <c r="Y111" i="11"/>
  <c r="Z111" i="11"/>
  <c r="AA111" i="11"/>
  <c r="AB111" i="11"/>
  <c r="AC111" i="11"/>
  <c r="AD111" i="11"/>
  <c r="AE111" i="11"/>
  <c r="AF111" i="11"/>
  <c r="AH111" i="11"/>
  <c r="AI111" i="11"/>
  <c r="AJ111" i="11"/>
  <c r="AK111" i="11"/>
  <c r="AL111" i="11"/>
  <c r="AM111" i="11"/>
  <c r="D112" i="11"/>
  <c r="E112" i="11"/>
  <c r="F112" i="11"/>
  <c r="G112" i="11"/>
  <c r="H112" i="11"/>
  <c r="I112" i="11"/>
  <c r="J112" i="11"/>
  <c r="K112" i="11"/>
  <c r="L112" i="11"/>
  <c r="M112" i="11"/>
  <c r="O112" i="11"/>
  <c r="U112" i="11" s="1"/>
  <c r="P112" i="11"/>
  <c r="V112" i="11" s="1"/>
  <c r="W112" i="11"/>
  <c r="X112" i="11"/>
  <c r="Y112" i="11"/>
  <c r="Z112" i="11"/>
  <c r="AA112" i="11"/>
  <c r="AB112" i="11"/>
  <c r="AC112" i="11"/>
  <c r="AD112" i="11"/>
  <c r="AE112" i="11"/>
  <c r="AF112" i="11"/>
  <c r="AH112" i="11"/>
  <c r="AI112" i="11"/>
  <c r="AJ112" i="11"/>
  <c r="AK112" i="11"/>
  <c r="AL112" i="11"/>
  <c r="AM112" i="11"/>
  <c r="D113" i="11"/>
  <c r="E113" i="11"/>
  <c r="F113" i="11"/>
  <c r="G113" i="11"/>
  <c r="H113" i="11"/>
  <c r="I113" i="11"/>
  <c r="J113" i="11"/>
  <c r="K113" i="11"/>
  <c r="L113" i="11"/>
  <c r="M113" i="11"/>
  <c r="O113" i="11"/>
  <c r="U113" i="11" s="1"/>
  <c r="P113" i="11"/>
  <c r="V113" i="11" s="1"/>
  <c r="W113" i="11"/>
  <c r="X113" i="11"/>
  <c r="Y113" i="11"/>
  <c r="Z113" i="11"/>
  <c r="AA113" i="11"/>
  <c r="AB113" i="11"/>
  <c r="AC113" i="11"/>
  <c r="AD113" i="11"/>
  <c r="AE113" i="11"/>
  <c r="AF113" i="11"/>
  <c r="AH113" i="11"/>
  <c r="AI113" i="11"/>
  <c r="AJ113" i="11"/>
  <c r="AK113" i="11"/>
  <c r="AL113" i="11"/>
  <c r="AM113" i="11"/>
  <c r="D114" i="11"/>
  <c r="E114" i="11"/>
  <c r="F114" i="11"/>
  <c r="G114" i="11"/>
  <c r="H114" i="11"/>
  <c r="I114" i="11"/>
  <c r="J114" i="11"/>
  <c r="K114" i="11"/>
  <c r="L114" i="11"/>
  <c r="M114" i="11"/>
  <c r="O114" i="11"/>
  <c r="P114" i="11"/>
  <c r="V114" i="11" s="1"/>
  <c r="W114" i="11"/>
  <c r="X114" i="11"/>
  <c r="Y114" i="11"/>
  <c r="Z114" i="11"/>
  <c r="AA114" i="11"/>
  <c r="AB114" i="11"/>
  <c r="AC114" i="11"/>
  <c r="AD114" i="11"/>
  <c r="AE114" i="11"/>
  <c r="AF114" i="11"/>
  <c r="AH114" i="11"/>
  <c r="AI114" i="11"/>
  <c r="AJ114" i="11"/>
  <c r="AK114" i="11"/>
  <c r="AL114" i="11"/>
  <c r="AM114" i="11"/>
  <c r="D115" i="11"/>
  <c r="E115" i="11"/>
  <c r="F115" i="11"/>
  <c r="G115" i="11"/>
  <c r="H115" i="11"/>
  <c r="I115" i="11"/>
  <c r="J115" i="11"/>
  <c r="K115" i="11"/>
  <c r="L115" i="11"/>
  <c r="M115" i="11"/>
  <c r="O115" i="11"/>
  <c r="U115" i="11" s="1"/>
  <c r="P115" i="11"/>
  <c r="V115" i="11" s="1"/>
  <c r="W115" i="11"/>
  <c r="X115" i="11"/>
  <c r="Y115" i="11"/>
  <c r="Z115" i="11"/>
  <c r="AA115" i="11"/>
  <c r="AB115" i="11"/>
  <c r="AC115" i="11"/>
  <c r="AD115" i="11"/>
  <c r="AE115" i="11"/>
  <c r="AF115" i="11"/>
  <c r="AH115" i="11"/>
  <c r="AI115" i="11"/>
  <c r="AJ115" i="11"/>
  <c r="AK115" i="11"/>
  <c r="AL115" i="11"/>
  <c r="AM115" i="11"/>
  <c r="D116" i="11"/>
  <c r="E116" i="11"/>
  <c r="F116" i="11"/>
  <c r="G116" i="11"/>
  <c r="H116" i="11"/>
  <c r="I116" i="11"/>
  <c r="J116" i="11"/>
  <c r="K116" i="11"/>
  <c r="L116" i="11"/>
  <c r="M116" i="11"/>
  <c r="O116" i="11"/>
  <c r="U116" i="11" s="1"/>
  <c r="P116" i="11"/>
  <c r="V116" i="11" s="1"/>
  <c r="W116" i="11"/>
  <c r="X116" i="11"/>
  <c r="Y116" i="11"/>
  <c r="Z116" i="11"/>
  <c r="AA116" i="11"/>
  <c r="AB116" i="11"/>
  <c r="AC116" i="11"/>
  <c r="AD116" i="11"/>
  <c r="AE116" i="11"/>
  <c r="AF116" i="11"/>
  <c r="AH116" i="11"/>
  <c r="AI116" i="11"/>
  <c r="AJ116" i="11"/>
  <c r="AK116" i="11"/>
  <c r="AL116" i="11"/>
  <c r="AM116" i="11"/>
  <c r="D117" i="11"/>
  <c r="E117" i="11"/>
  <c r="F117" i="11"/>
  <c r="G117" i="11"/>
  <c r="H117" i="11"/>
  <c r="I117" i="11"/>
  <c r="J117" i="11"/>
  <c r="K117" i="11"/>
  <c r="L117" i="11"/>
  <c r="M117" i="11"/>
  <c r="O117" i="11"/>
  <c r="P117" i="11"/>
  <c r="V117" i="11" s="1"/>
  <c r="W117" i="11"/>
  <c r="X117" i="11"/>
  <c r="Y117" i="11"/>
  <c r="Z117" i="11"/>
  <c r="AA117" i="11"/>
  <c r="AB117" i="11"/>
  <c r="AC117" i="11"/>
  <c r="AD117" i="11"/>
  <c r="AE117" i="11"/>
  <c r="AF117" i="11"/>
  <c r="AH117" i="11"/>
  <c r="AI117" i="11"/>
  <c r="AJ117" i="11"/>
  <c r="AK117" i="11"/>
  <c r="AL117" i="11"/>
  <c r="AM117" i="11"/>
  <c r="D118" i="11"/>
  <c r="E118" i="11"/>
  <c r="F118" i="11"/>
  <c r="G118" i="11"/>
  <c r="H118" i="11"/>
  <c r="I118" i="11"/>
  <c r="J118" i="11"/>
  <c r="K118" i="11"/>
  <c r="L118" i="11"/>
  <c r="M118" i="11"/>
  <c r="O118" i="11"/>
  <c r="U118" i="11" s="1"/>
  <c r="P118" i="11"/>
  <c r="V118" i="11" s="1"/>
  <c r="W118" i="11"/>
  <c r="X118" i="11"/>
  <c r="Y118" i="11"/>
  <c r="Z118" i="11"/>
  <c r="AA118" i="11"/>
  <c r="AB118" i="11"/>
  <c r="AC118" i="11"/>
  <c r="AD118" i="11"/>
  <c r="AE118" i="11"/>
  <c r="AF118" i="11"/>
  <c r="AH118" i="11"/>
  <c r="AI118" i="11"/>
  <c r="AJ118" i="11"/>
  <c r="AK118" i="11"/>
  <c r="AL118" i="11"/>
  <c r="AM118" i="11"/>
  <c r="D119" i="11"/>
  <c r="E119" i="11"/>
  <c r="F119" i="11"/>
  <c r="G119" i="11"/>
  <c r="H119" i="11"/>
  <c r="I119" i="11"/>
  <c r="J119" i="11"/>
  <c r="K119" i="11"/>
  <c r="L119" i="11"/>
  <c r="M119" i="11"/>
  <c r="O119" i="11"/>
  <c r="P119" i="11"/>
  <c r="V119" i="11" s="1"/>
  <c r="W119" i="11"/>
  <c r="X119" i="11"/>
  <c r="Y119" i="11"/>
  <c r="Z119" i="11"/>
  <c r="AA119" i="11"/>
  <c r="AB119" i="11"/>
  <c r="AC119" i="11"/>
  <c r="AD119" i="11"/>
  <c r="AE119" i="11"/>
  <c r="AF119" i="11"/>
  <c r="AH119" i="11"/>
  <c r="AI119" i="11"/>
  <c r="AJ119" i="11"/>
  <c r="AK119" i="11"/>
  <c r="AL119" i="11"/>
  <c r="AM119" i="11"/>
  <c r="D120" i="11"/>
  <c r="E120" i="11"/>
  <c r="F120" i="11"/>
  <c r="G120" i="11"/>
  <c r="H120" i="11"/>
  <c r="I120" i="11"/>
  <c r="J120" i="11"/>
  <c r="K120" i="11"/>
  <c r="L120" i="11"/>
  <c r="M120" i="11"/>
  <c r="O120" i="11"/>
  <c r="U120" i="11" s="1"/>
  <c r="P120" i="11"/>
  <c r="V120" i="11" s="1"/>
  <c r="W120" i="11"/>
  <c r="X120" i="11"/>
  <c r="Y120" i="11"/>
  <c r="Z120" i="11"/>
  <c r="AA120" i="11"/>
  <c r="AB120" i="11"/>
  <c r="AC120" i="11"/>
  <c r="AD120" i="11"/>
  <c r="AE120" i="11"/>
  <c r="AF120" i="11"/>
  <c r="AH120" i="11"/>
  <c r="AI120" i="11"/>
  <c r="AJ120" i="11"/>
  <c r="AK120" i="11"/>
  <c r="AL120" i="11"/>
  <c r="AM120" i="11"/>
  <c r="D121" i="11"/>
  <c r="E121" i="11"/>
  <c r="F121" i="11"/>
  <c r="G121" i="11"/>
  <c r="H121" i="11"/>
  <c r="I121" i="11"/>
  <c r="J121" i="11"/>
  <c r="K121" i="11"/>
  <c r="L121" i="11"/>
  <c r="M121" i="11"/>
  <c r="O121" i="11"/>
  <c r="U121" i="11" s="1"/>
  <c r="P121" i="11"/>
  <c r="V121" i="11" s="1"/>
  <c r="W121" i="11"/>
  <c r="X121" i="11"/>
  <c r="Y121" i="11"/>
  <c r="Z121" i="11"/>
  <c r="AA121" i="11"/>
  <c r="AB121" i="11"/>
  <c r="AC121" i="11"/>
  <c r="AD121" i="11"/>
  <c r="AE121" i="11"/>
  <c r="AF121" i="11"/>
  <c r="AH121" i="11"/>
  <c r="AI121" i="11"/>
  <c r="AJ121" i="11"/>
  <c r="AK121" i="11"/>
  <c r="AL121" i="11"/>
  <c r="AM121" i="11"/>
  <c r="D122" i="11"/>
  <c r="E122" i="11"/>
  <c r="F122" i="11"/>
  <c r="G122" i="11"/>
  <c r="H122" i="11"/>
  <c r="I122" i="11"/>
  <c r="J122" i="11"/>
  <c r="K122" i="11"/>
  <c r="L122" i="11"/>
  <c r="M122" i="11"/>
  <c r="O122" i="11"/>
  <c r="U122" i="11" s="1"/>
  <c r="P122" i="11"/>
  <c r="V122" i="11" s="1"/>
  <c r="W122" i="11"/>
  <c r="X122" i="11"/>
  <c r="Y122" i="11"/>
  <c r="Z122" i="11"/>
  <c r="AA122" i="11"/>
  <c r="AB122" i="11"/>
  <c r="AC122" i="11"/>
  <c r="AD122" i="11"/>
  <c r="AE122" i="11"/>
  <c r="AF122" i="11"/>
  <c r="AH122" i="11"/>
  <c r="AI122" i="11"/>
  <c r="AJ122" i="11"/>
  <c r="AK122" i="11"/>
  <c r="AL122" i="11"/>
  <c r="AM122" i="11"/>
  <c r="D123" i="11"/>
  <c r="E123" i="11"/>
  <c r="F123" i="11"/>
  <c r="G123" i="11"/>
  <c r="H123" i="11"/>
  <c r="I123" i="11"/>
  <c r="J123" i="11"/>
  <c r="K123" i="11"/>
  <c r="L123" i="11"/>
  <c r="M123" i="11"/>
  <c r="O123" i="11"/>
  <c r="P123" i="11"/>
  <c r="V123" i="11" s="1"/>
  <c r="W123" i="11"/>
  <c r="X123" i="11"/>
  <c r="Y123" i="11"/>
  <c r="Z123" i="11"/>
  <c r="AA123" i="11"/>
  <c r="AB123" i="11"/>
  <c r="AC123" i="11"/>
  <c r="AD123" i="11"/>
  <c r="AE123" i="11"/>
  <c r="AF123" i="11"/>
  <c r="AH123" i="11"/>
  <c r="AI123" i="11"/>
  <c r="AJ123" i="11"/>
  <c r="AK123" i="11"/>
  <c r="AL123" i="11"/>
  <c r="AM123" i="11"/>
  <c r="D124" i="11"/>
  <c r="E124" i="11"/>
  <c r="F124" i="11"/>
  <c r="G124" i="11"/>
  <c r="H124" i="11"/>
  <c r="I124" i="11"/>
  <c r="J124" i="11"/>
  <c r="K124" i="11"/>
  <c r="L124" i="11"/>
  <c r="M124" i="11"/>
  <c r="O124" i="11"/>
  <c r="U124" i="11" s="1"/>
  <c r="P124" i="11"/>
  <c r="V124" i="11" s="1"/>
  <c r="W124" i="11"/>
  <c r="X124" i="11"/>
  <c r="Y124" i="11"/>
  <c r="Z124" i="11"/>
  <c r="AA124" i="11"/>
  <c r="AB124" i="11"/>
  <c r="AC124" i="11"/>
  <c r="AD124" i="11"/>
  <c r="AE124" i="11"/>
  <c r="AF124" i="11"/>
  <c r="AH124" i="11"/>
  <c r="AI124" i="11"/>
  <c r="AJ124" i="11"/>
  <c r="AK124" i="11"/>
  <c r="AL124" i="11"/>
  <c r="AM124" i="11"/>
  <c r="D125" i="11"/>
  <c r="E125" i="11"/>
  <c r="F125" i="11"/>
  <c r="G125" i="11"/>
  <c r="H125" i="11"/>
  <c r="I125" i="11"/>
  <c r="J125" i="11"/>
  <c r="K125" i="11"/>
  <c r="L125" i="11"/>
  <c r="M125" i="11"/>
  <c r="O125" i="11"/>
  <c r="U125" i="11" s="1"/>
  <c r="P125" i="11"/>
  <c r="V125" i="11" s="1"/>
  <c r="W125" i="11"/>
  <c r="X125" i="11"/>
  <c r="Y125" i="11"/>
  <c r="Z125" i="11"/>
  <c r="AA125" i="11"/>
  <c r="AB125" i="11"/>
  <c r="AC125" i="11"/>
  <c r="AD125" i="11"/>
  <c r="AE125" i="11"/>
  <c r="AF125" i="11"/>
  <c r="AH125" i="11"/>
  <c r="AI125" i="11"/>
  <c r="AJ125" i="11"/>
  <c r="AK125" i="11"/>
  <c r="AL125" i="11"/>
  <c r="AM125" i="11"/>
  <c r="D126" i="11"/>
  <c r="E126" i="11"/>
  <c r="F126" i="11"/>
  <c r="G126" i="11"/>
  <c r="H126" i="11"/>
  <c r="I126" i="11"/>
  <c r="J126" i="11"/>
  <c r="K126" i="11"/>
  <c r="L126" i="11"/>
  <c r="M126" i="11"/>
  <c r="O126" i="11"/>
  <c r="U126" i="11" s="1"/>
  <c r="P126" i="11"/>
  <c r="V126" i="11" s="1"/>
  <c r="W126" i="11"/>
  <c r="X126" i="11"/>
  <c r="Y126" i="11"/>
  <c r="Z126" i="11"/>
  <c r="AA126" i="11"/>
  <c r="AB126" i="11"/>
  <c r="AC126" i="11"/>
  <c r="AD126" i="11"/>
  <c r="AE126" i="11"/>
  <c r="AF126" i="11"/>
  <c r="AH126" i="11"/>
  <c r="AI126" i="11"/>
  <c r="AJ126" i="11"/>
  <c r="AK126" i="11"/>
  <c r="AL126" i="11"/>
  <c r="AM126" i="11"/>
  <c r="D127" i="11"/>
  <c r="E127" i="11"/>
  <c r="F127" i="11"/>
  <c r="G127" i="11"/>
  <c r="H127" i="11"/>
  <c r="I127" i="11"/>
  <c r="J127" i="11"/>
  <c r="K127" i="11"/>
  <c r="L127" i="11"/>
  <c r="M127" i="11"/>
  <c r="O127" i="11"/>
  <c r="U127" i="11" s="1"/>
  <c r="P127" i="11"/>
  <c r="V127" i="11" s="1"/>
  <c r="W127" i="11"/>
  <c r="X127" i="11"/>
  <c r="Y127" i="11"/>
  <c r="Z127" i="11"/>
  <c r="AA127" i="11"/>
  <c r="AB127" i="11"/>
  <c r="AC127" i="11"/>
  <c r="AD127" i="11"/>
  <c r="AE127" i="11"/>
  <c r="AF127" i="11"/>
  <c r="AH127" i="11"/>
  <c r="AI127" i="11"/>
  <c r="AJ127" i="11"/>
  <c r="AK127" i="11"/>
  <c r="AL127" i="11"/>
  <c r="AM127" i="11"/>
  <c r="D128" i="11"/>
  <c r="E128" i="11"/>
  <c r="F128" i="11"/>
  <c r="G128" i="11"/>
  <c r="H128" i="11"/>
  <c r="I128" i="11"/>
  <c r="J128" i="11"/>
  <c r="K128" i="11"/>
  <c r="L128" i="11"/>
  <c r="M128" i="11"/>
  <c r="O128" i="11"/>
  <c r="U128" i="11" s="1"/>
  <c r="P128" i="11"/>
  <c r="V128" i="11" s="1"/>
  <c r="W128" i="11"/>
  <c r="X128" i="11"/>
  <c r="Y128" i="11"/>
  <c r="Z128" i="11"/>
  <c r="AA128" i="11"/>
  <c r="AB128" i="11"/>
  <c r="AC128" i="11"/>
  <c r="AD128" i="11"/>
  <c r="AE128" i="11"/>
  <c r="AF128" i="11"/>
  <c r="AH128" i="11"/>
  <c r="AI128" i="11"/>
  <c r="AJ128" i="11"/>
  <c r="AK128" i="11"/>
  <c r="AL128" i="11"/>
  <c r="AM128" i="11"/>
  <c r="D129" i="11"/>
  <c r="E129" i="11"/>
  <c r="F129" i="11"/>
  <c r="G129" i="11"/>
  <c r="H129" i="11"/>
  <c r="I129" i="11"/>
  <c r="J129" i="11"/>
  <c r="K129" i="11"/>
  <c r="L129" i="11"/>
  <c r="M129" i="11"/>
  <c r="O129" i="11"/>
  <c r="U129" i="11" s="1"/>
  <c r="P129" i="11"/>
  <c r="V129" i="11" s="1"/>
  <c r="W129" i="11"/>
  <c r="X129" i="11"/>
  <c r="Y129" i="11"/>
  <c r="Z129" i="11"/>
  <c r="AA129" i="11"/>
  <c r="AB129" i="11"/>
  <c r="AC129" i="11"/>
  <c r="AD129" i="11"/>
  <c r="AE129" i="11"/>
  <c r="AF129" i="11"/>
  <c r="AH129" i="11"/>
  <c r="AI129" i="11"/>
  <c r="AJ129" i="11"/>
  <c r="AK129" i="11"/>
  <c r="AL129" i="11"/>
  <c r="AM129" i="11"/>
  <c r="D130" i="11"/>
  <c r="E130" i="11"/>
  <c r="F130" i="11"/>
  <c r="G130" i="11"/>
  <c r="H130" i="11"/>
  <c r="I130" i="11"/>
  <c r="J130" i="11"/>
  <c r="K130" i="11"/>
  <c r="L130" i="11"/>
  <c r="M130" i="11"/>
  <c r="O130" i="11"/>
  <c r="U130" i="11" s="1"/>
  <c r="P130" i="11"/>
  <c r="V130" i="11" s="1"/>
  <c r="W130" i="11"/>
  <c r="X130" i="11"/>
  <c r="Y130" i="11"/>
  <c r="Z130" i="11"/>
  <c r="AA130" i="11"/>
  <c r="AB130" i="11"/>
  <c r="AC130" i="11"/>
  <c r="AD130" i="11"/>
  <c r="AE130" i="11"/>
  <c r="AF130" i="11"/>
  <c r="AH130" i="11"/>
  <c r="AI130" i="11"/>
  <c r="AJ130" i="11"/>
  <c r="AK130" i="11"/>
  <c r="AL130" i="11"/>
  <c r="AM130" i="11"/>
  <c r="D131" i="11"/>
  <c r="E131" i="11"/>
  <c r="F131" i="11"/>
  <c r="G131" i="11"/>
  <c r="H131" i="11"/>
  <c r="I131" i="11"/>
  <c r="J131" i="11"/>
  <c r="K131" i="11"/>
  <c r="L131" i="11"/>
  <c r="M131" i="11"/>
  <c r="O131" i="11"/>
  <c r="P131" i="11"/>
  <c r="V131" i="11" s="1"/>
  <c r="W131" i="11"/>
  <c r="X131" i="11"/>
  <c r="Y131" i="11"/>
  <c r="Z131" i="11"/>
  <c r="AA131" i="11"/>
  <c r="AB131" i="11"/>
  <c r="AC131" i="11"/>
  <c r="AD131" i="11"/>
  <c r="AE131" i="11"/>
  <c r="AF131" i="11"/>
  <c r="AH131" i="11"/>
  <c r="AI131" i="11"/>
  <c r="AJ131" i="11"/>
  <c r="AK131" i="11"/>
  <c r="AL131" i="11"/>
  <c r="AM131" i="11"/>
  <c r="D132" i="11"/>
  <c r="E132" i="11"/>
  <c r="F132" i="11"/>
  <c r="G132" i="11"/>
  <c r="H132" i="11"/>
  <c r="I132" i="11"/>
  <c r="J132" i="11"/>
  <c r="K132" i="11"/>
  <c r="L132" i="11"/>
  <c r="M132" i="11"/>
  <c r="O132" i="11"/>
  <c r="U132" i="11" s="1"/>
  <c r="P132" i="11"/>
  <c r="V132" i="11" s="1"/>
  <c r="W132" i="11"/>
  <c r="X132" i="11"/>
  <c r="Y132" i="11"/>
  <c r="Z132" i="11"/>
  <c r="AA132" i="11"/>
  <c r="AB132" i="11"/>
  <c r="AC132" i="11"/>
  <c r="AD132" i="11"/>
  <c r="AE132" i="11"/>
  <c r="AF132" i="11"/>
  <c r="AH132" i="11"/>
  <c r="AI132" i="11"/>
  <c r="AJ132" i="11"/>
  <c r="AK132" i="11"/>
  <c r="AL132" i="11"/>
  <c r="AM132" i="11"/>
  <c r="D133" i="11"/>
  <c r="E133" i="11"/>
  <c r="F133" i="11"/>
  <c r="G133" i="11"/>
  <c r="H133" i="11"/>
  <c r="I133" i="11"/>
  <c r="J133" i="11"/>
  <c r="K133" i="11"/>
  <c r="L133" i="11"/>
  <c r="M133" i="11"/>
  <c r="O133" i="11"/>
  <c r="P133" i="11"/>
  <c r="V133" i="11" s="1"/>
  <c r="W133" i="11"/>
  <c r="X133" i="11"/>
  <c r="Y133" i="11"/>
  <c r="Z133" i="11"/>
  <c r="AA133" i="11"/>
  <c r="AB133" i="11"/>
  <c r="AC133" i="11"/>
  <c r="AD133" i="11"/>
  <c r="AE133" i="11"/>
  <c r="AF133" i="11"/>
  <c r="AH133" i="11"/>
  <c r="AI133" i="11"/>
  <c r="AJ133" i="11"/>
  <c r="AK133" i="11"/>
  <c r="AL133" i="11"/>
  <c r="AM133" i="11"/>
  <c r="D134" i="11"/>
  <c r="E134" i="11"/>
  <c r="F134" i="11"/>
  <c r="G134" i="11"/>
  <c r="H134" i="11"/>
  <c r="I134" i="11"/>
  <c r="J134" i="11"/>
  <c r="K134" i="11"/>
  <c r="L134" i="11"/>
  <c r="M134" i="11"/>
  <c r="O134" i="11"/>
  <c r="U134" i="11" s="1"/>
  <c r="P134" i="11"/>
  <c r="V134" i="11" s="1"/>
  <c r="W134" i="11"/>
  <c r="X134" i="11"/>
  <c r="Y134" i="11"/>
  <c r="Z134" i="11"/>
  <c r="AA134" i="11"/>
  <c r="AB134" i="11"/>
  <c r="AC134" i="11"/>
  <c r="AD134" i="11"/>
  <c r="AE134" i="11"/>
  <c r="AF134" i="11"/>
  <c r="AH134" i="11"/>
  <c r="AI134" i="11"/>
  <c r="AJ134" i="11"/>
  <c r="AK134" i="11"/>
  <c r="AL134" i="11"/>
  <c r="AM134" i="11"/>
  <c r="D135" i="11"/>
  <c r="E135" i="11"/>
  <c r="F135" i="11"/>
  <c r="G135" i="11"/>
  <c r="H135" i="11"/>
  <c r="I135" i="11"/>
  <c r="J135" i="11"/>
  <c r="K135" i="11"/>
  <c r="L135" i="11"/>
  <c r="M135" i="11"/>
  <c r="O135" i="11"/>
  <c r="U135" i="11" s="1"/>
  <c r="P135" i="11"/>
  <c r="V135" i="11" s="1"/>
  <c r="W135" i="11"/>
  <c r="X135" i="11"/>
  <c r="Y135" i="11"/>
  <c r="Z135" i="11"/>
  <c r="AA135" i="11"/>
  <c r="AB135" i="11"/>
  <c r="AC135" i="11"/>
  <c r="AD135" i="11"/>
  <c r="AE135" i="11"/>
  <c r="AF135" i="11"/>
  <c r="AH135" i="11"/>
  <c r="AI135" i="11"/>
  <c r="AJ135" i="11"/>
  <c r="AK135" i="11"/>
  <c r="AL135" i="11"/>
  <c r="AM135" i="11"/>
  <c r="D136" i="11"/>
  <c r="E136" i="11"/>
  <c r="F136" i="11"/>
  <c r="G136" i="11"/>
  <c r="H136" i="11"/>
  <c r="I136" i="11"/>
  <c r="J136" i="11"/>
  <c r="K136" i="11"/>
  <c r="L136" i="11"/>
  <c r="M136" i="11"/>
  <c r="O136" i="11"/>
  <c r="U136" i="11" s="1"/>
  <c r="P136" i="11"/>
  <c r="V136" i="11" s="1"/>
  <c r="W136" i="11"/>
  <c r="X136" i="11"/>
  <c r="Y136" i="11"/>
  <c r="Z136" i="11"/>
  <c r="AA136" i="11"/>
  <c r="AB136" i="11"/>
  <c r="AC136" i="11"/>
  <c r="AD136" i="11"/>
  <c r="AE136" i="11"/>
  <c r="AF136" i="11"/>
  <c r="AH136" i="11"/>
  <c r="AI136" i="11"/>
  <c r="AJ136" i="11"/>
  <c r="AK136" i="11"/>
  <c r="AL136" i="11"/>
  <c r="AM136" i="11"/>
  <c r="D137" i="11"/>
  <c r="E137" i="11"/>
  <c r="F137" i="11"/>
  <c r="G137" i="11"/>
  <c r="H137" i="11"/>
  <c r="I137" i="11"/>
  <c r="J137" i="11"/>
  <c r="K137" i="11"/>
  <c r="L137" i="11"/>
  <c r="M137" i="11"/>
  <c r="O137" i="11"/>
  <c r="P137" i="11"/>
  <c r="V137" i="11" s="1"/>
  <c r="W137" i="11"/>
  <c r="X137" i="11"/>
  <c r="Y137" i="11"/>
  <c r="Z137" i="11"/>
  <c r="AA137" i="11"/>
  <c r="AB137" i="11"/>
  <c r="AC137" i="11"/>
  <c r="AD137" i="11"/>
  <c r="AE137" i="11"/>
  <c r="AF137" i="11"/>
  <c r="AH137" i="11"/>
  <c r="AI137" i="11"/>
  <c r="AJ137" i="11"/>
  <c r="AK137" i="11"/>
  <c r="AL137" i="11"/>
  <c r="AM137" i="11"/>
  <c r="D138" i="11"/>
  <c r="E138" i="11"/>
  <c r="F138" i="11"/>
  <c r="G138" i="11"/>
  <c r="H138" i="11"/>
  <c r="I138" i="11"/>
  <c r="J138" i="11"/>
  <c r="K138" i="11"/>
  <c r="L138" i="11"/>
  <c r="M138" i="11"/>
  <c r="O138" i="11"/>
  <c r="U138" i="11" s="1"/>
  <c r="P138" i="11"/>
  <c r="V138" i="11" s="1"/>
  <c r="W138" i="11"/>
  <c r="X138" i="11"/>
  <c r="Y138" i="11"/>
  <c r="Z138" i="11"/>
  <c r="AA138" i="11"/>
  <c r="AB138" i="11"/>
  <c r="AC138" i="11"/>
  <c r="AD138" i="11"/>
  <c r="AE138" i="11"/>
  <c r="AF138" i="11"/>
  <c r="AH138" i="11"/>
  <c r="AI138" i="11"/>
  <c r="AJ138" i="11"/>
  <c r="AK138" i="11"/>
  <c r="AL138" i="11"/>
  <c r="AM138" i="11"/>
  <c r="D139" i="11"/>
  <c r="E139" i="11"/>
  <c r="F139" i="11"/>
  <c r="G139" i="11"/>
  <c r="H139" i="11"/>
  <c r="I139" i="11"/>
  <c r="J139" i="11"/>
  <c r="K139" i="11"/>
  <c r="L139" i="11"/>
  <c r="M139" i="11"/>
  <c r="O139" i="11"/>
  <c r="P139" i="11"/>
  <c r="V139" i="11" s="1"/>
  <c r="W139" i="11"/>
  <c r="X139" i="11"/>
  <c r="Y139" i="11"/>
  <c r="Z139" i="11"/>
  <c r="AA139" i="11"/>
  <c r="AB139" i="11"/>
  <c r="AC139" i="11"/>
  <c r="AD139" i="11"/>
  <c r="AE139" i="11"/>
  <c r="AF139" i="11"/>
  <c r="AH139" i="11"/>
  <c r="AI139" i="11"/>
  <c r="AJ139" i="11"/>
  <c r="AK139" i="11"/>
  <c r="AL139" i="11"/>
  <c r="AM139" i="11"/>
  <c r="D140" i="11"/>
  <c r="E140" i="11"/>
  <c r="F140" i="11"/>
  <c r="G140" i="11"/>
  <c r="H140" i="11"/>
  <c r="I140" i="11"/>
  <c r="J140" i="11"/>
  <c r="K140" i="11"/>
  <c r="L140" i="11"/>
  <c r="M140" i="11"/>
  <c r="O140" i="11"/>
  <c r="U140" i="11" s="1"/>
  <c r="P140" i="11"/>
  <c r="V140" i="11" s="1"/>
  <c r="W140" i="11"/>
  <c r="X140" i="11"/>
  <c r="Y140" i="11"/>
  <c r="Z140" i="11"/>
  <c r="AA140" i="11"/>
  <c r="AB140" i="11"/>
  <c r="AC140" i="11"/>
  <c r="AD140" i="11"/>
  <c r="AE140" i="11"/>
  <c r="AF140" i="11"/>
  <c r="AH140" i="11"/>
  <c r="AI140" i="11"/>
  <c r="AJ140" i="11"/>
  <c r="AK140" i="11"/>
  <c r="AL140" i="11"/>
  <c r="AM140" i="11"/>
  <c r="D141" i="11"/>
  <c r="E141" i="11"/>
  <c r="F141" i="11"/>
  <c r="G141" i="11"/>
  <c r="H141" i="11"/>
  <c r="I141" i="11"/>
  <c r="J141" i="11"/>
  <c r="K141" i="11"/>
  <c r="L141" i="11"/>
  <c r="M141" i="11"/>
  <c r="O141" i="11"/>
  <c r="P141" i="11"/>
  <c r="V141" i="11" s="1"/>
  <c r="W141" i="11"/>
  <c r="X141" i="11"/>
  <c r="Y141" i="11"/>
  <c r="Z141" i="11"/>
  <c r="AA141" i="11"/>
  <c r="AB141" i="11"/>
  <c r="AC141" i="11"/>
  <c r="AD141" i="11"/>
  <c r="AE141" i="11"/>
  <c r="AF141" i="11"/>
  <c r="AH141" i="11"/>
  <c r="AI141" i="11"/>
  <c r="AJ141" i="11"/>
  <c r="AK141" i="11"/>
  <c r="AL141" i="11"/>
  <c r="AM141" i="11"/>
  <c r="D142" i="11"/>
  <c r="E142" i="11"/>
  <c r="F142" i="11"/>
  <c r="G142" i="11"/>
  <c r="H142" i="11"/>
  <c r="I142" i="11"/>
  <c r="J142" i="11"/>
  <c r="K142" i="11"/>
  <c r="L142" i="11"/>
  <c r="M142" i="11"/>
  <c r="O142" i="11"/>
  <c r="U142" i="11" s="1"/>
  <c r="P142" i="11"/>
  <c r="V142" i="11" s="1"/>
  <c r="W142" i="11"/>
  <c r="X142" i="11"/>
  <c r="Y142" i="11"/>
  <c r="Z142" i="11"/>
  <c r="AA142" i="11"/>
  <c r="AB142" i="11"/>
  <c r="AC142" i="11"/>
  <c r="AD142" i="11"/>
  <c r="AE142" i="11"/>
  <c r="AF142" i="11"/>
  <c r="AH142" i="11"/>
  <c r="AI142" i="11"/>
  <c r="AJ142" i="11"/>
  <c r="AK142" i="11"/>
  <c r="AL142" i="11"/>
  <c r="AM142" i="11"/>
  <c r="D143" i="11"/>
  <c r="E143" i="11"/>
  <c r="F143" i="11"/>
  <c r="G143" i="11"/>
  <c r="H143" i="11"/>
  <c r="I143" i="11"/>
  <c r="J143" i="11"/>
  <c r="K143" i="11"/>
  <c r="L143" i="11"/>
  <c r="M143" i="11"/>
  <c r="O143" i="11"/>
  <c r="U143" i="11" s="1"/>
  <c r="P143" i="11"/>
  <c r="V143" i="11" s="1"/>
  <c r="W143" i="11"/>
  <c r="X143" i="11"/>
  <c r="Y143" i="11"/>
  <c r="Z143" i="11"/>
  <c r="AA143" i="11"/>
  <c r="AB143" i="11"/>
  <c r="AC143" i="11"/>
  <c r="AD143" i="11"/>
  <c r="AE143" i="11"/>
  <c r="AF143" i="11"/>
  <c r="AH143" i="11"/>
  <c r="AI143" i="11"/>
  <c r="AJ143" i="11"/>
  <c r="AK143" i="11"/>
  <c r="AL143" i="11"/>
  <c r="AM143" i="11"/>
  <c r="D144" i="11"/>
  <c r="E144" i="11"/>
  <c r="F144" i="11"/>
  <c r="G144" i="11"/>
  <c r="H144" i="11"/>
  <c r="I144" i="11"/>
  <c r="J144" i="11"/>
  <c r="K144" i="11"/>
  <c r="L144" i="11"/>
  <c r="M144" i="11"/>
  <c r="O144" i="11"/>
  <c r="U144" i="11" s="1"/>
  <c r="P144" i="11"/>
  <c r="V144" i="11" s="1"/>
  <c r="W144" i="11"/>
  <c r="X144" i="11"/>
  <c r="Y144" i="11"/>
  <c r="Z144" i="11"/>
  <c r="AA144" i="11"/>
  <c r="AB144" i="11"/>
  <c r="AC144" i="11"/>
  <c r="AD144" i="11"/>
  <c r="AE144" i="11"/>
  <c r="AF144" i="11"/>
  <c r="AH144" i="11"/>
  <c r="AI144" i="11"/>
  <c r="AJ144" i="11"/>
  <c r="AK144" i="11"/>
  <c r="AL144" i="11"/>
  <c r="AM144" i="11"/>
  <c r="D145" i="11"/>
  <c r="E145" i="11"/>
  <c r="F145" i="11"/>
  <c r="G145" i="11"/>
  <c r="H145" i="11"/>
  <c r="I145" i="11"/>
  <c r="J145" i="11"/>
  <c r="K145" i="11"/>
  <c r="L145" i="11"/>
  <c r="M145" i="11"/>
  <c r="O145" i="11"/>
  <c r="U145" i="11" s="1"/>
  <c r="P145" i="11"/>
  <c r="V145" i="11" s="1"/>
  <c r="W145" i="11"/>
  <c r="X145" i="11"/>
  <c r="Y145" i="11"/>
  <c r="Z145" i="11"/>
  <c r="AA145" i="11"/>
  <c r="AB145" i="11"/>
  <c r="AC145" i="11"/>
  <c r="AD145" i="11"/>
  <c r="AE145" i="11"/>
  <c r="AF145" i="11"/>
  <c r="AH145" i="11"/>
  <c r="AI145" i="11"/>
  <c r="AJ145" i="11"/>
  <c r="AK145" i="11"/>
  <c r="AL145" i="11"/>
  <c r="AM145" i="11"/>
  <c r="D146" i="11"/>
  <c r="E146" i="11"/>
  <c r="F146" i="11"/>
  <c r="G146" i="11"/>
  <c r="H146" i="11"/>
  <c r="I146" i="11"/>
  <c r="J146" i="11"/>
  <c r="K146" i="11"/>
  <c r="L146" i="11"/>
  <c r="M146" i="11"/>
  <c r="O146" i="11"/>
  <c r="U146" i="11" s="1"/>
  <c r="P146" i="11"/>
  <c r="V146" i="11" s="1"/>
  <c r="W146" i="11"/>
  <c r="X146" i="11"/>
  <c r="Y146" i="11"/>
  <c r="Z146" i="11"/>
  <c r="AA146" i="11"/>
  <c r="AB146" i="11"/>
  <c r="AC146" i="11"/>
  <c r="AD146" i="11"/>
  <c r="AE146" i="11"/>
  <c r="AF146" i="11"/>
  <c r="AH146" i="11"/>
  <c r="AI146" i="11"/>
  <c r="AJ146" i="11"/>
  <c r="AK146" i="11"/>
  <c r="AL146" i="11"/>
  <c r="AM146" i="11"/>
  <c r="D147" i="11"/>
  <c r="E147" i="11"/>
  <c r="F147" i="11"/>
  <c r="G147" i="11"/>
  <c r="H147" i="11"/>
  <c r="I147" i="11"/>
  <c r="J147" i="11"/>
  <c r="K147" i="11"/>
  <c r="L147" i="11"/>
  <c r="M147" i="11"/>
  <c r="O147" i="11"/>
  <c r="U147" i="11" s="1"/>
  <c r="P147" i="11"/>
  <c r="W147" i="11"/>
  <c r="X147" i="11"/>
  <c r="Y147" i="11"/>
  <c r="Z147" i="11"/>
  <c r="AA147" i="11"/>
  <c r="AB147" i="11"/>
  <c r="AC147" i="11"/>
  <c r="AD147" i="11"/>
  <c r="AE147" i="11"/>
  <c r="AF147" i="11"/>
  <c r="AH147" i="11"/>
  <c r="AI147" i="11"/>
  <c r="AJ147" i="11"/>
  <c r="AK147" i="11"/>
  <c r="AL147" i="11"/>
  <c r="AM147" i="11"/>
  <c r="D148" i="11"/>
  <c r="E148" i="11"/>
  <c r="F148" i="11"/>
  <c r="G148" i="11"/>
  <c r="H148" i="11"/>
  <c r="I148" i="11"/>
  <c r="J148" i="11"/>
  <c r="K148" i="11"/>
  <c r="L148" i="11"/>
  <c r="M148" i="11"/>
  <c r="O148" i="11"/>
  <c r="P148" i="11"/>
  <c r="V148" i="11" s="1"/>
  <c r="W148" i="11"/>
  <c r="X148" i="11"/>
  <c r="Y148" i="11"/>
  <c r="Z148" i="11"/>
  <c r="AA148" i="11"/>
  <c r="AB148" i="11"/>
  <c r="AC148" i="11"/>
  <c r="AD148" i="11"/>
  <c r="AE148" i="11"/>
  <c r="AF148" i="11"/>
  <c r="AH148" i="11"/>
  <c r="AI148" i="11"/>
  <c r="AJ148" i="11"/>
  <c r="AK148" i="11"/>
  <c r="AL148" i="11"/>
  <c r="AM148" i="11"/>
  <c r="D149" i="11"/>
  <c r="E149" i="11"/>
  <c r="F149" i="11"/>
  <c r="G149" i="11"/>
  <c r="H149" i="11"/>
  <c r="I149" i="11"/>
  <c r="J149" i="11"/>
  <c r="K149" i="11"/>
  <c r="L149" i="11"/>
  <c r="M149" i="11"/>
  <c r="O149" i="11"/>
  <c r="U149" i="11" s="1"/>
  <c r="P149" i="11"/>
  <c r="V149" i="11" s="1"/>
  <c r="W149" i="11"/>
  <c r="X149" i="11"/>
  <c r="Y149" i="11"/>
  <c r="Z149" i="11"/>
  <c r="AA149" i="11"/>
  <c r="AB149" i="11"/>
  <c r="AC149" i="11"/>
  <c r="AD149" i="11"/>
  <c r="AE149" i="11"/>
  <c r="AF149" i="11"/>
  <c r="AH149" i="11"/>
  <c r="AI149" i="11"/>
  <c r="AJ149" i="11"/>
  <c r="AK149" i="11"/>
  <c r="AL149" i="11"/>
  <c r="AM149" i="11"/>
  <c r="D150" i="11"/>
  <c r="E150" i="11"/>
  <c r="F150" i="11"/>
  <c r="G150" i="11"/>
  <c r="H150" i="11"/>
  <c r="I150" i="11"/>
  <c r="J150" i="11"/>
  <c r="K150" i="11"/>
  <c r="L150" i="11"/>
  <c r="M150" i="11"/>
  <c r="O150" i="11"/>
  <c r="U150" i="11" s="1"/>
  <c r="P150" i="11"/>
  <c r="V150" i="11" s="1"/>
  <c r="W150" i="11"/>
  <c r="X150" i="11"/>
  <c r="Y150" i="11"/>
  <c r="Z150" i="11"/>
  <c r="AA150" i="11"/>
  <c r="AB150" i="11"/>
  <c r="AC150" i="11"/>
  <c r="AD150" i="11"/>
  <c r="AE150" i="11"/>
  <c r="AF150" i="11"/>
  <c r="AH150" i="11"/>
  <c r="AI150" i="11"/>
  <c r="AJ150" i="11"/>
  <c r="AK150" i="11"/>
  <c r="AL150" i="11"/>
  <c r="AM150" i="11"/>
  <c r="D151" i="11"/>
  <c r="E151" i="11"/>
  <c r="F151" i="11"/>
  <c r="G151" i="11"/>
  <c r="H151" i="11"/>
  <c r="I151" i="11"/>
  <c r="J151" i="11"/>
  <c r="K151" i="11"/>
  <c r="L151" i="11"/>
  <c r="M151" i="11"/>
  <c r="O151" i="11"/>
  <c r="U151" i="11" s="1"/>
  <c r="P151" i="11"/>
  <c r="V151" i="11" s="1"/>
  <c r="W151" i="11"/>
  <c r="X151" i="11"/>
  <c r="Y151" i="11"/>
  <c r="Z151" i="11"/>
  <c r="AA151" i="11"/>
  <c r="AB151" i="11"/>
  <c r="AC151" i="11"/>
  <c r="AD151" i="11"/>
  <c r="AE151" i="11"/>
  <c r="AF151" i="11"/>
  <c r="AH151" i="11"/>
  <c r="AI151" i="11"/>
  <c r="AJ151" i="11"/>
  <c r="AK151" i="11"/>
  <c r="AL151" i="11"/>
  <c r="AM151" i="11"/>
  <c r="D152" i="11"/>
  <c r="E152" i="11"/>
  <c r="F152" i="11"/>
  <c r="G152" i="11"/>
  <c r="H152" i="11"/>
  <c r="I152" i="11"/>
  <c r="J152" i="11"/>
  <c r="K152" i="11"/>
  <c r="L152" i="11"/>
  <c r="M152" i="11"/>
  <c r="O152" i="11"/>
  <c r="U152" i="11" s="1"/>
  <c r="P152" i="11"/>
  <c r="V152" i="11" s="1"/>
  <c r="W152" i="11"/>
  <c r="X152" i="11"/>
  <c r="Y152" i="11"/>
  <c r="Z152" i="11"/>
  <c r="AA152" i="11"/>
  <c r="AB152" i="11"/>
  <c r="AC152" i="11"/>
  <c r="AD152" i="11"/>
  <c r="AE152" i="11"/>
  <c r="AF152" i="11"/>
  <c r="AH152" i="11"/>
  <c r="AI152" i="11"/>
  <c r="AJ152" i="11"/>
  <c r="AK152" i="11"/>
  <c r="AL152" i="11"/>
  <c r="AM152" i="11"/>
  <c r="D153" i="11"/>
  <c r="E153" i="11"/>
  <c r="F153" i="11"/>
  <c r="G153" i="11"/>
  <c r="H153" i="11"/>
  <c r="I153" i="11"/>
  <c r="J153" i="11"/>
  <c r="K153" i="11"/>
  <c r="L153" i="11"/>
  <c r="M153" i="11"/>
  <c r="O153" i="11"/>
  <c r="U153" i="11" s="1"/>
  <c r="P153" i="11"/>
  <c r="V153" i="11" s="1"/>
  <c r="W153" i="11"/>
  <c r="X153" i="11"/>
  <c r="Y153" i="11"/>
  <c r="Z153" i="11"/>
  <c r="AA153" i="11"/>
  <c r="AB153" i="11"/>
  <c r="AC153" i="11"/>
  <c r="AD153" i="11"/>
  <c r="AE153" i="11"/>
  <c r="AF153" i="11"/>
  <c r="AH153" i="11"/>
  <c r="AI153" i="11"/>
  <c r="AJ153" i="11"/>
  <c r="AK153" i="11"/>
  <c r="AL153" i="11"/>
  <c r="AM153" i="11"/>
  <c r="D154" i="11"/>
  <c r="E154" i="11"/>
  <c r="F154" i="11"/>
  <c r="G154" i="11"/>
  <c r="H154" i="11"/>
  <c r="I154" i="11"/>
  <c r="J154" i="11"/>
  <c r="K154" i="11"/>
  <c r="L154" i="11"/>
  <c r="M154" i="11"/>
  <c r="O154" i="11"/>
  <c r="U154" i="11" s="1"/>
  <c r="P154" i="11"/>
  <c r="V154" i="11" s="1"/>
  <c r="W154" i="11"/>
  <c r="X154" i="11"/>
  <c r="Y154" i="11"/>
  <c r="Z154" i="11"/>
  <c r="AA154" i="11"/>
  <c r="AB154" i="11"/>
  <c r="AC154" i="11"/>
  <c r="AD154" i="11"/>
  <c r="AE154" i="11"/>
  <c r="AF154" i="11"/>
  <c r="AH154" i="11"/>
  <c r="AI154" i="11"/>
  <c r="AJ154" i="11"/>
  <c r="AK154" i="11"/>
  <c r="AL154" i="11"/>
  <c r="AM154" i="11"/>
  <c r="D155" i="11"/>
  <c r="E155" i="11"/>
  <c r="F155" i="11"/>
  <c r="G155" i="11"/>
  <c r="H155" i="11"/>
  <c r="I155" i="11"/>
  <c r="J155" i="11"/>
  <c r="K155" i="11"/>
  <c r="L155" i="11"/>
  <c r="M155" i="11"/>
  <c r="O155" i="11"/>
  <c r="U155" i="11" s="1"/>
  <c r="P155" i="11"/>
  <c r="V155" i="11" s="1"/>
  <c r="W155" i="11"/>
  <c r="X155" i="11"/>
  <c r="Y155" i="11"/>
  <c r="Z155" i="11"/>
  <c r="AA155" i="11"/>
  <c r="AB155" i="11"/>
  <c r="AC155" i="11"/>
  <c r="AD155" i="11"/>
  <c r="AE155" i="11"/>
  <c r="AF155" i="11"/>
  <c r="AH155" i="11"/>
  <c r="AI155" i="11"/>
  <c r="AJ155" i="11"/>
  <c r="AK155" i="11"/>
  <c r="AL155" i="11"/>
  <c r="AM155" i="11"/>
  <c r="D156" i="11"/>
  <c r="E156" i="11"/>
  <c r="F156" i="11"/>
  <c r="G156" i="11"/>
  <c r="H156" i="11"/>
  <c r="I156" i="11"/>
  <c r="J156" i="11"/>
  <c r="K156" i="11"/>
  <c r="L156" i="11"/>
  <c r="M156" i="11"/>
  <c r="O156" i="11"/>
  <c r="P156" i="11"/>
  <c r="V156" i="11" s="1"/>
  <c r="W156" i="11"/>
  <c r="X156" i="11"/>
  <c r="Y156" i="11"/>
  <c r="Z156" i="11"/>
  <c r="AA156" i="11"/>
  <c r="AB156" i="11"/>
  <c r="AC156" i="11"/>
  <c r="AD156" i="11"/>
  <c r="AE156" i="11"/>
  <c r="AF156" i="11"/>
  <c r="AH156" i="11"/>
  <c r="AI156" i="11"/>
  <c r="AJ156" i="11"/>
  <c r="AK156" i="11"/>
  <c r="AL156" i="11"/>
  <c r="AM156" i="11"/>
  <c r="D157" i="11"/>
  <c r="E157" i="11"/>
  <c r="F157" i="11"/>
  <c r="G157" i="11"/>
  <c r="H157" i="11"/>
  <c r="I157" i="11"/>
  <c r="J157" i="11"/>
  <c r="K157" i="11"/>
  <c r="L157" i="11"/>
  <c r="M157" i="11"/>
  <c r="O157" i="11"/>
  <c r="U157" i="11" s="1"/>
  <c r="P157" i="11"/>
  <c r="V157" i="11" s="1"/>
  <c r="W157" i="11"/>
  <c r="X157" i="11"/>
  <c r="Y157" i="11"/>
  <c r="Z157" i="11"/>
  <c r="AA157" i="11"/>
  <c r="AB157" i="11"/>
  <c r="AC157" i="11"/>
  <c r="AD157" i="11"/>
  <c r="AE157" i="11"/>
  <c r="AF157" i="11"/>
  <c r="AH157" i="11"/>
  <c r="AI157" i="11"/>
  <c r="AJ157" i="11"/>
  <c r="AK157" i="11"/>
  <c r="AL157" i="11"/>
  <c r="AM157" i="11"/>
  <c r="D158" i="11"/>
  <c r="E158" i="11"/>
  <c r="F158" i="11"/>
  <c r="G158" i="11"/>
  <c r="H158" i="11"/>
  <c r="I158" i="11"/>
  <c r="J158" i="11"/>
  <c r="K158" i="11"/>
  <c r="L158" i="11"/>
  <c r="M158" i="11"/>
  <c r="O158" i="11"/>
  <c r="U158" i="11" s="1"/>
  <c r="P158" i="11"/>
  <c r="W158" i="11"/>
  <c r="X158" i="11"/>
  <c r="Y158" i="11"/>
  <c r="Z158" i="11"/>
  <c r="AA158" i="11"/>
  <c r="AB158" i="11"/>
  <c r="AC158" i="11"/>
  <c r="AD158" i="11"/>
  <c r="AE158" i="11"/>
  <c r="AF158" i="11"/>
  <c r="AH158" i="11"/>
  <c r="AI158" i="11"/>
  <c r="AJ158" i="11"/>
  <c r="AK158" i="11"/>
  <c r="AL158" i="11"/>
  <c r="AM158" i="11"/>
  <c r="D159" i="11"/>
  <c r="E159" i="11"/>
  <c r="F159" i="11"/>
  <c r="G159" i="11"/>
  <c r="H159" i="11"/>
  <c r="I159" i="11"/>
  <c r="J159" i="11"/>
  <c r="K159" i="11"/>
  <c r="L159" i="11"/>
  <c r="M159" i="11"/>
  <c r="O159" i="11"/>
  <c r="U159" i="11" s="1"/>
  <c r="P159" i="11"/>
  <c r="V159" i="11" s="1"/>
  <c r="W159" i="11"/>
  <c r="X159" i="11"/>
  <c r="Y159" i="11"/>
  <c r="Z159" i="11"/>
  <c r="AA159" i="11"/>
  <c r="AB159" i="11"/>
  <c r="AC159" i="11"/>
  <c r="AD159" i="11"/>
  <c r="AE159" i="11"/>
  <c r="AF159" i="11"/>
  <c r="AH159" i="11"/>
  <c r="AI159" i="11"/>
  <c r="AJ159" i="11"/>
  <c r="AK159" i="11"/>
  <c r="AL159" i="11"/>
  <c r="AM159" i="11"/>
  <c r="Q10" i="11" l="1"/>
  <c r="R10" i="11" s="1"/>
  <c r="Q93" i="11"/>
  <c r="R93" i="11" s="1"/>
  <c r="Q95" i="11"/>
  <c r="R95" i="11" s="1"/>
  <c r="Q127" i="11"/>
  <c r="R127" i="11" s="1"/>
  <c r="Q9" i="11"/>
  <c r="R9" i="11" s="1"/>
  <c r="Q8" i="11"/>
  <c r="R8" i="11" s="1"/>
  <c r="Q157" i="11"/>
  <c r="R157" i="11" s="1"/>
  <c r="Q140" i="11"/>
  <c r="R140" i="11" s="1"/>
  <c r="Q54" i="11"/>
  <c r="R54" i="11" s="1"/>
  <c r="Q79" i="11"/>
  <c r="R79" i="11" s="1"/>
  <c r="Q121" i="11"/>
  <c r="R121" i="11" s="1"/>
  <c r="U93" i="11"/>
  <c r="Q136" i="11"/>
  <c r="R136" i="11" s="1"/>
  <c r="Q109" i="11"/>
  <c r="R109" i="11" s="1"/>
  <c r="Q69" i="11"/>
  <c r="R69" i="11" s="1"/>
  <c r="Q137" i="11"/>
  <c r="R137" i="11" s="1"/>
  <c r="Q25" i="11"/>
  <c r="R25" i="11" s="1"/>
  <c r="Q55" i="11"/>
  <c r="R55" i="11" s="1"/>
  <c r="Q134" i="11"/>
  <c r="R134" i="11" s="1"/>
  <c r="Q129" i="11"/>
  <c r="R129" i="11" s="1"/>
  <c r="Q97" i="11"/>
  <c r="R97" i="11" s="1"/>
  <c r="Q43" i="11"/>
  <c r="R43" i="11" s="1"/>
  <c r="Q27" i="11"/>
  <c r="R27" i="11" s="1"/>
  <c r="Q13" i="11"/>
  <c r="R13" i="11" s="1"/>
  <c r="Q139" i="11"/>
  <c r="R139" i="11" s="1"/>
  <c r="Q65" i="11"/>
  <c r="R65" i="11" s="1"/>
  <c r="Q106" i="11"/>
  <c r="R106" i="11" s="1"/>
  <c r="Q80" i="11"/>
  <c r="R80" i="11" s="1"/>
  <c r="Q36" i="11"/>
  <c r="R36" i="11" s="1"/>
  <c r="U9" i="11"/>
  <c r="Q135" i="11"/>
  <c r="R135" i="11" s="1"/>
  <c r="Q87" i="11"/>
  <c r="R87" i="11" s="1"/>
  <c r="Q66" i="11"/>
  <c r="R66" i="11" s="1"/>
  <c r="Q74" i="11"/>
  <c r="R74" i="11" s="1"/>
  <c r="Q11" i="11"/>
  <c r="R11" i="11" s="1"/>
  <c r="Q155" i="11"/>
  <c r="R155" i="11" s="1"/>
  <c r="Q147" i="11"/>
  <c r="R147" i="11" s="1"/>
  <c r="Q99" i="11"/>
  <c r="R99" i="11" s="1"/>
  <c r="Q71" i="11"/>
  <c r="R71" i="11" s="1"/>
  <c r="Q144" i="11"/>
  <c r="R144" i="11" s="1"/>
  <c r="Q160" i="11"/>
  <c r="R160" i="11" s="1"/>
  <c r="Q94" i="11"/>
  <c r="R94" i="11" s="1"/>
  <c r="Q62" i="11"/>
  <c r="R62" i="11" s="1"/>
  <c r="Q52" i="11"/>
  <c r="R52" i="11" s="1"/>
  <c r="Q108" i="11"/>
  <c r="R108" i="11" s="1"/>
  <c r="Q122" i="11"/>
  <c r="R122" i="11" s="1"/>
  <c r="Q64" i="11"/>
  <c r="R64" i="11" s="1"/>
  <c r="Q39" i="11"/>
  <c r="R39" i="11" s="1"/>
  <c r="Q14" i="11"/>
  <c r="R14" i="11" s="1"/>
  <c r="Q164" i="11"/>
  <c r="R164" i="11" s="1"/>
  <c r="Q138" i="11"/>
  <c r="R138" i="11" s="1"/>
  <c r="Q29" i="11"/>
  <c r="R29" i="11" s="1"/>
  <c r="Q154" i="11"/>
  <c r="R154" i="11" s="1"/>
  <c r="Q83" i="11"/>
  <c r="R83" i="11" s="1"/>
  <c r="Q41" i="11"/>
  <c r="R41" i="11" s="1"/>
  <c r="U139" i="11"/>
  <c r="U106" i="11"/>
  <c r="U13" i="11"/>
  <c r="U55" i="11"/>
  <c r="Q146" i="11"/>
  <c r="R146" i="11" s="1"/>
  <c r="Q130" i="11"/>
  <c r="R130" i="11" s="1"/>
  <c r="Q111" i="11"/>
  <c r="R111" i="11" s="1"/>
  <c r="Q90" i="11"/>
  <c r="R90" i="11" s="1"/>
  <c r="Q73" i="11"/>
  <c r="R73" i="11" s="1"/>
  <c r="V25" i="11"/>
  <c r="Q163" i="11"/>
  <c r="R163" i="11" s="1"/>
  <c r="V160" i="11"/>
  <c r="Q96" i="11"/>
  <c r="R96" i="11" s="1"/>
  <c r="Q113" i="11"/>
  <c r="R113" i="11" s="1"/>
  <c r="U96" i="11"/>
  <c r="Q158" i="11"/>
  <c r="R158" i="11" s="1"/>
  <c r="Q141" i="11"/>
  <c r="R141" i="11" s="1"/>
  <c r="Q125" i="11"/>
  <c r="R125" i="11" s="1"/>
  <c r="Q40" i="11"/>
  <c r="R40" i="11" s="1"/>
  <c r="Q24" i="11"/>
  <c r="R24" i="11" s="1"/>
  <c r="Q156" i="11"/>
  <c r="R156" i="11" s="1"/>
  <c r="Q165" i="11"/>
  <c r="R165" i="11" s="1"/>
  <c r="Q149" i="11"/>
  <c r="R149" i="11" s="1"/>
  <c r="Q82" i="11"/>
  <c r="R82" i="11" s="1"/>
  <c r="Q12" i="11"/>
  <c r="R12" i="11" s="1"/>
  <c r="Q46" i="11"/>
  <c r="R46" i="11" s="1"/>
  <c r="U29" i="11"/>
  <c r="Q169" i="11"/>
  <c r="R169" i="11" s="1"/>
  <c r="Q162" i="11"/>
  <c r="R162" i="11" s="1"/>
  <c r="Q102" i="11"/>
  <c r="R102" i="11" s="1"/>
  <c r="Q153" i="11"/>
  <c r="R153" i="11" s="1"/>
  <c r="Q124" i="11"/>
  <c r="R124" i="11" s="1"/>
  <c r="U94" i="11"/>
  <c r="U69" i="11"/>
  <c r="Q32" i="11"/>
  <c r="R32" i="11" s="1"/>
  <c r="Q150" i="11"/>
  <c r="R150" i="11" s="1"/>
  <c r="Q88" i="11"/>
  <c r="R88" i="11" s="1"/>
  <c r="Q57" i="11"/>
  <c r="R57" i="11" s="1"/>
  <c r="Q68" i="11"/>
  <c r="R68" i="11" s="1"/>
  <c r="V147" i="11"/>
  <c r="Q67" i="11"/>
  <c r="R67" i="11" s="1"/>
  <c r="V163" i="11"/>
  <c r="Q26" i="11"/>
  <c r="R26" i="11" s="1"/>
  <c r="Q92" i="11"/>
  <c r="R92" i="11" s="1"/>
  <c r="Q85" i="11"/>
  <c r="R85" i="11" s="1"/>
  <c r="Q31" i="11"/>
  <c r="R31" i="11" s="1"/>
  <c r="Q20" i="11"/>
  <c r="R20" i="11" s="1"/>
  <c r="Q15" i="11"/>
  <c r="R15" i="11" s="1"/>
  <c r="Q168" i="11"/>
  <c r="R168" i="11" s="1"/>
  <c r="Q118" i="11"/>
  <c r="R118" i="11" s="1"/>
  <c r="Q152" i="11"/>
  <c r="R152" i="11" s="1"/>
  <c r="Q112" i="11"/>
  <c r="R112" i="11" s="1"/>
  <c r="Q38" i="11"/>
  <c r="R38" i="11" s="1"/>
  <c r="U165" i="11"/>
  <c r="Q142" i="11"/>
  <c r="R142" i="11" s="1"/>
  <c r="Q123" i="11"/>
  <c r="R123" i="11" s="1"/>
  <c r="Q107" i="11"/>
  <c r="R107" i="11" s="1"/>
  <c r="Q81" i="11"/>
  <c r="R81" i="11" s="1"/>
  <c r="Q53" i="11"/>
  <c r="R53" i="11" s="1"/>
  <c r="Q37" i="11"/>
  <c r="R37" i="11" s="1"/>
  <c r="V158" i="11"/>
  <c r="Q151" i="11"/>
  <c r="R151" i="11" s="1"/>
  <c r="Q23" i="11"/>
  <c r="R23" i="11" s="1"/>
  <c r="Q21" i="11"/>
  <c r="R21" i="11" s="1"/>
  <c r="Q116" i="11"/>
  <c r="R116" i="11" s="1"/>
  <c r="Q84" i="11"/>
  <c r="R84" i="11" s="1"/>
  <c r="U82" i="11"/>
  <c r="U68" i="11"/>
  <c r="U62" i="11"/>
  <c r="V54" i="11"/>
  <c r="Q51" i="11"/>
  <c r="R51" i="11" s="1"/>
  <c r="Q42" i="11"/>
  <c r="R42" i="11" s="1"/>
  <c r="U40" i="11"/>
  <c r="U26" i="11"/>
  <c r="U20" i="11"/>
  <c r="Q167" i="11"/>
  <c r="R167" i="11" s="1"/>
  <c r="Q143" i="11"/>
  <c r="R143" i="11" s="1"/>
  <c r="U137" i="11"/>
  <c r="Q132" i="11"/>
  <c r="R132" i="11" s="1"/>
  <c r="Q110" i="11"/>
  <c r="R110" i="11" s="1"/>
  <c r="U108" i="11"/>
  <c r="Q104" i="11"/>
  <c r="R104" i="11" s="1"/>
  <c r="U64" i="11"/>
  <c r="Q56" i="11"/>
  <c r="R56" i="11" s="1"/>
  <c r="U38" i="11"/>
  <c r="U36" i="11"/>
  <c r="U24" i="11"/>
  <c r="U80" i="11"/>
  <c r="U52" i="11"/>
  <c r="U12" i="11"/>
  <c r="Q128" i="11"/>
  <c r="R128" i="11" s="1"/>
  <c r="Q22" i="11"/>
  <c r="R22" i="11" s="1"/>
  <c r="Q161" i="11"/>
  <c r="R161" i="11" s="1"/>
  <c r="Q50" i="11"/>
  <c r="R50" i="11" s="1"/>
  <c r="Q48" i="11"/>
  <c r="R48" i="11" s="1"/>
  <c r="Q148" i="11"/>
  <c r="R148" i="11" s="1"/>
  <c r="Q133" i="11"/>
  <c r="R133" i="11" s="1"/>
  <c r="Q120" i="11"/>
  <c r="R120" i="11" s="1"/>
  <c r="Q115" i="11"/>
  <c r="R115" i="11" s="1"/>
  <c r="Q76" i="11"/>
  <c r="R76" i="11" s="1"/>
  <c r="Q60" i="11"/>
  <c r="R60" i="11" s="1"/>
  <c r="Q18" i="11"/>
  <c r="R18" i="11" s="1"/>
  <c r="U169" i="11"/>
  <c r="Q166" i="11"/>
  <c r="R166" i="11" s="1"/>
  <c r="U123" i="11"/>
  <c r="Q100" i="11"/>
  <c r="R100" i="11" s="1"/>
  <c r="U100" i="11"/>
  <c r="Q98" i="11"/>
  <c r="R98" i="11" s="1"/>
  <c r="U76" i="11"/>
  <c r="Q45" i="11"/>
  <c r="R45" i="11" s="1"/>
  <c r="U23" i="11"/>
  <c r="U65" i="11"/>
  <c r="Q47" i="11"/>
  <c r="R47" i="11" s="1"/>
  <c r="U47" i="11"/>
  <c r="Q105" i="11"/>
  <c r="R105" i="11" s="1"/>
  <c r="Q63" i="11"/>
  <c r="R63" i="11" s="1"/>
  <c r="Q117" i="11"/>
  <c r="R117" i="11" s="1"/>
  <c r="U117" i="11"/>
  <c r="Q44" i="11"/>
  <c r="R44" i="11" s="1"/>
  <c r="U44" i="11"/>
  <c r="Q86" i="11"/>
  <c r="R86" i="11" s="1"/>
  <c r="U86" i="11"/>
  <c r="Q159" i="11"/>
  <c r="R159" i="11" s="1"/>
  <c r="Q77" i="11"/>
  <c r="R77" i="11" s="1"/>
  <c r="Q16" i="11"/>
  <c r="R16" i="11" s="1"/>
  <c r="U16" i="11"/>
  <c r="Q58" i="11"/>
  <c r="R58" i="11" s="1"/>
  <c r="U58" i="11"/>
  <c r="U156" i="11"/>
  <c r="U141" i="11"/>
  <c r="U107" i="11"/>
  <c r="Q145" i="11"/>
  <c r="R145" i="11" s="1"/>
  <c r="Q114" i="11"/>
  <c r="R114" i="11" s="1"/>
  <c r="U114" i="11"/>
  <c r="Q89" i="11"/>
  <c r="R89" i="11" s="1"/>
  <c r="U89" i="11"/>
  <c r="Q49" i="11"/>
  <c r="R49" i="11" s="1"/>
  <c r="U105" i="11"/>
  <c r="Q91" i="11"/>
  <c r="R91" i="11" s="1"/>
  <c r="Q78" i="11"/>
  <c r="R78" i="11" s="1"/>
  <c r="Q34" i="11"/>
  <c r="R34" i="11" s="1"/>
  <c r="Q30" i="11"/>
  <c r="R30" i="11" s="1"/>
  <c r="U30" i="11"/>
  <c r="Q28" i="11"/>
  <c r="R28" i="11" s="1"/>
  <c r="Q103" i="11"/>
  <c r="R103" i="11" s="1"/>
  <c r="U103" i="11"/>
  <c r="Q61" i="11"/>
  <c r="R61" i="11" s="1"/>
  <c r="U61" i="11"/>
  <c r="Q131" i="11"/>
  <c r="R131" i="11" s="1"/>
  <c r="Q119" i="11"/>
  <c r="R119" i="11" s="1"/>
  <c r="Q33" i="11"/>
  <c r="R33" i="11" s="1"/>
  <c r="U33" i="11"/>
  <c r="Q75" i="11"/>
  <c r="R75" i="11" s="1"/>
  <c r="U75" i="11"/>
  <c r="Q35" i="11"/>
  <c r="R35" i="11" s="1"/>
  <c r="U148" i="11"/>
  <c r="U133" i="11"/>
  <c r="U131" i="11"/>
  <c r="Q72" i="11"/>
  <c r="R72" i="11" s="1"/>
  <c r="U72" i="11"/>
  <c r="Q70" i="11"/>
  <c r="R70" i="11" s="1"/>
  <c r="U46" i="11"/>
  <c r="Q17" i="11"/>
  <c r="R17" i="11" s="1"/>
  <c r="Q126" i="11"/>
  <c r="R126" i="11" s="1"/>
  <c r="U119" i="11"/>
  <c r="Q101" i="11"/>
  <c r="R101" i="11" s="1"/>
  <c r="U88" i="11"/>
  <c r="Q59" i="11"/>
  <c r="R59" i="11" s="1"/>
  <c r="Q19" i="11"/>
  <c r="R19" i="11" s="1"/>
  <c r="U19" i="11"/>
  <c r="AH7" i="11"/>
  <c r="AI7" i="11"/>
  <c r="AJ7" i="11"/>
  <c r="AK7" i="11"/>
  <c r="AL7" i="11"/>
  <c r="AM7" i="11"/>
  <c r="AF7" i="11"/>
  <c r="AE7" i="11"/>
  <c r="AD7" i="11"/>
  <c r="AC7" i="11"/>
  <c r="AB7" i="11"/>
  <c r="AA7" i="11"/>
  <c r="Z7" i="11"/>
  <c r="Y7" i="11"/>
  <c r="X7" i="11"/>
  <c r="W7" i="11"/>
  <c r="P7" i="11"/>
  <c r="V7" i="11" s="1"/>
  <c r="O7" i="11"/>
  <c r="U7" i="11" s="1"/>
  <c r="M7" i="11"/>
  <c r="Q7" i="11" l="1"/>
  <c r="R7" i="11" s="1"/>
  <c r="B1" i="7" l="1"/>
  <c r="B1" i="6"/>
  <c r="A16" i="6" s="1"/>
  <c r="B1" i="4"/>
  <c r="B1" i="3"/>
  <c r="L7" i="11"/>
  <c r="A32" i="7" l="1"/>
  <c r="A27" i="7"/>
  <c r="A26" i="7"/>
  <c r="B26" i="7" s="1"/>
  <c r="A21" i="7"/>
  <c r="A20" i="7"/>
  <c r="B13" i="4"/>
  <c r="K6" i="18" s="1"/>
  <c r="A19" i="4"/>
  <c r="B19" i="4" s="1"/>
  <c r="A23" i="4"/>
  <c r="B23" i="4" s="1"/>
  <c r="A20" i="4"/>
  <c r="B20" i="4" s="1"/>
  <c r="A17" i="4"/>
  <c r="B17" i="4" s="1"/>
  <c r="O10" i="18" s="1"/>
  <c r="F16" i="4"/>
  <c r="F15" i="4"/>
  <c r="A15" i="4"/>
  <c r="B15" i="4" s="1"/>
  <c r="L10" i="18" s="1"/>
  <c r="A28" i="4"/>
  <c r="B28" i="4" s="1"/>
  <c r="A21" i="4"/>
  <c r="B21" i="4" s="1"/>
  <c r="A26" i="4"/>
  <c r="B26" i="4" s="1"/>
  <c r="A22" i="4"/>
  <c r="B22" i="4" s="1"/>
  <c r="A27" i="4"/>
  <c r="B27" i="4" s="1"/>
  <c r="A25" i="4"/>
  <c r="B25" i="4" s="1"/>
  <c r="B22" i="6"/>
  <c r="B21" i="6"/>
  <c r="A18" i="6"/>
  <c r="B18" i="6" s="1"/>
  <c r="B14" i="6"/>
  <c r="A19" i="6"/>
  <c r="B19" i="6" s="1"/>
  <c r="B13" i="6"/>
  <c r="F19" i="6"/>
  <c r="F18" i="6" s="1"/>
  <c r="E19" i="6"/>
  <c r="E18" i="6" s="1"/>
  <c r="B16" i="6"/>
  <c r="B12" i="6"/>
  <c r="B20" i="3"/>
  <c r="E15" i="3"/>
  <c r="E14" i="3"/>
  <c r="B21" i="3"/>
  <c r="B19" i="3"/>
  <c r="A5" i="3"/>
  <c r="B5" i="3" s="1"/>
  <c r="B18" i="3"/>
  <c r="A7" i="3"/>
  <c r="B7" i="3" s="1"/>
  <c r="E17" i="3"/>
  <c r="E13" i="3"/>
  <c r="E16" i="3"/>
  <c r="A15" i="3"/>
  <c r="B15" i="3" s="1"/>
  <c r="B11" i="3"/>
  <c r="B10" i="3"/>
  <c r="A13" i="3"/>
  <c r="B13" i="3" s="1"/>
  <c r="A8" i="3"/>
  <c r="B8" i="3" s="1"/>
  <c r="C9" i="3"/>
  <c r="A6" i="3"/>
  <c r="B6" i="3" s="1"/>
  <c r="A14" i="3"/>
  <c r="B14" i="3" s="1"/>
  <c r="A16" i="3"/>
  <c r="B16" i="3" s="1"/>
  <c r="A9" i="3"/>
  <c r="B9" i="3" s="1"/>
  <c r="A29" i="7"/>
  <c r="B29" i="7" s="1"/>
  <c r="C18" i="7"/>
  <c r="B27" i="7"/>
  <c r="A17" i="7"/>
  <c r="B17" i="7" s="1"/>
  <c r="C17" i="7"/>
  <c r="A16" i="7"/>
  <c r="B16" i="7" s="1"/>
  <c r="A23" i="7"/>
  <c r="B23" i="7" s="1"/>
  <c r="A18" i="7"/>
  <c r="B18" i="7" s="1"/>
  <c r="C23" i="7"/>
  <c r="B21" i="7"/>
  <c r="B20" i="7"/>
  <c r="C16" i="7"/>
  <c r="C24" i="7"/>
  <c r="A24" i="7"/>
  <c r="B24" i="7" s="1"/>
  <c r="A31" i="7"/>
  <c r="B31" i="7" s="1"/>
  <c r="B32" i="7"/>
  <c r="C15" i="7"/>
  <c r="B15" i="7"/>
  <c r="K2" i="6"/>
  <c r="B50" i="18" s="1"/>
  <c r="D12" i="3"/>
  <c r="K2" i="7"/>
  <c r="L50" i="18" s="1"/>
  <c r="K2" i="3"/>
  <c r="B99" i="18" s="1"/>
  <c r="K2" i="4"/>
  <c r="L1" i="18" s="1"/>
  <c r="G14" i="4"/>
  <c r="B1" i="1"/>
  <c r="K7" i="11"/>
  <c r="J7" i="11"/>
  <c r="I7" i="11"/>
  <c r="H7" i="11"/>
  <c r="G7" i="11"/>
  <c r="F7" i="11"/>
  <c r="E7" i="11"/>
  <c r="D7" i="11"/>
  <c r="F13" i="3" l="1"/>
  <c r="F15" i="3"/>
  <c r="F16" i="3"/>
  <c r="F14" i="3"/>
  <c r="F17" i="3"/>
  <c r="G16" i="4"/>
  <c r="K2" i="1"/>
  <c r="B1" i="18" s="1"/>
  <c r="A12" i="1"/>
  <c r="B12" i="1" s="1"/>
  <c r="F5" i="18" s="1"/>
  <c r="G15" i="4"/>
  <c r="A25" i="1"/>
  <c r="B25" i="1" s="1"/>
  <c r="A24" i="1"/>
  <c r="B24" i="1" s="1"/>
  <c r="A23" i="1"/>
  <c r="B23" i="1" s="1"/>
  <c r="A22" i="1"/>
  <c r="B22" i="1" s="1"/>
  <c r="A19" i="1"/>
  <c r="B19" i="1" s="1"/>
  <c r="A20" i="1"/>
  <c r="B20" i="1" s="1"/>
  <c r="A18" i="1"/>
  <c r="B18" i="1" s="1"/>
  <c r="B11" i="1"/>
  <c r="A17" i="1"/>
  <c r="B17" i="1" s="1"/>
  <c r="A10" i="18" s="1"/>
  <c r="G12" i="1"/>
  <c r="G13" i="1"/>
  <c r="F13" i="1"/>
  <c r="F12" i="1"/>
  <c r="A16" i="1"/>
  <c r="B16" i="1" s="1"/>
  <c r="A13" i="18" s="1"/>
  <c r="F17" i="1"/>
  <c r="E15" i="1"/>
  <c r="F16" i="1"/>
  <c r="A13" i="1"/>
  <c r="B13" i="1" s="1"/>
  <c r="F7" i="18" s="1"/>
  <c r="G16" i="1" l="1"/>
  <c r="H16" i="1" s="1"/>
  <c r="G17" i="1"/>
  <c r="H17" i="1" s="1"/>
</calcChain>
</file>

<file path=xl/sharedStrings.xml><?xml version="1.0" encoding="utf-8"?>
<sst xmlns="http://schemas.openxmlformats.org/spreadsheetml/2006/main" count="2988" uniqueCount="1121">
  <si>
    <t>England</t>
  </si>
  <si>
    <t>Introduction</t>
  </si>
  <si>
    <t>Area</t>
  </si>
  <si>
    <t>Drivers of Demand</t>
  </si>
  <si>
    <t>Population</t>
  </si>
  <si>
    <t>65+, 85+, Growth (disaggregated into age?)</t>
  </si>
  <si>
    <t>Long term conditions</t>
  </si>
  <si>
    <t>% with long term condition (sub-group of over 65s), number of people in bad or very bad health</t>
  </si>
  <si>
    <t>Working Age Care Users</t>
  </si>
  <si>
    <t>LDs, Mental Health, Growth - something on life expectancy with conditions?</t>
  </si>
  <si>
    <t>Comorbidities</t>
  </si>
  <si>
    <t>Anything on increasing complexity and multiple conditions</t>
  </si>
  <si>
    <t>Unpaid Care</t>
  </si>
  <si>
    <t>Old data but useable - I think something in census</t>
  </si>
  <si>
    <t>In comparison to ten years ago…</t>
  </si>
  <si>
    <t>Population aged 18-64</t>
  </si>
  <si>
    <t>Population aged 65+</t>
  </si>
  <si>
    <t>Healthy Years</t>
  </si>
  <si>
    <t>Years in Poor Health</t>
  </si>
  <si>
    <t>Men</t>
  </si>
  <si>
    <t>Population aged 85+</t>
  </si>
  <si>
    <t>Women</t>
  </si>
  <si>
    <t>Total expenditure - public mental health</t>
  </si>
  <si>
    <t>Some gaps in data, can be split by 18-64 and 65+</t>
  </si>
  <si>
    <t>put into finance, if using</t>
  </si>
  <si>
    <t>Learning disability support in the community</t>
  </si>
  <si>
    <t>can be split by 18-64 and 65+</t>
  </si>
  <si>
    <t>Pull and use here</t>
  </si>
  <si>
    <t>Could look at those limited a lot v limited a little</t>
  </si>
  <si>
    <t>pull and use (next to bad/v bad health)</t>
  </si>
  <si>
    <t>Gap in the employment rate between those with long-term health conditions and the overall employment rate</t>
  </si>
  <si>
    <t>go into outcomes</t>
  </si>
  <si>
    <t>Who provides?</t>
  </si>
  <si>
    <t>Market Shares</t>
  </si>
  <si>
    <t>% of care delivered by independent sector vs local authorities, costs in each</t>
  </si>
  <si>
    <t>Provider organisations</t>
  </si>
  <si>
    <t>Numbers, per capita (caseload and genpop), CQC ratings breakdown</t>
  </si>
  <si>
    <t>Market concentration (share of largest providers)</t>
  </si>
  <si>
    <t>"…X% of those in residential care are looked after by Y% of providers"</t>
  </si>
  <si>
    <t>Care home beds</t>
  </si>
  <si>
    <t>Care hours delivered</t>
  </si>
  <si>
    <t>Domiciliary, in Care Homes etc</t>
  </si>
  <si>
    <t>Provider exits / CQC closures</t>
  </si>
  <si>
    <t>Clients accessing community care during the year aged 18-64 and in receipt of direct payments</t>
  </si>
  <si>
    <t>Clients accessing community care during the year aged 18-64 and in receipt of CASSR managed personal budget</t>
  </si>
  <si>
    <t>Clients accessing community care during the year aged 18-64 and in receipt of CASSR commissioned support</t>
  </si>
  <si>
    <t>Clients accessing community care during the year aged 65+ and in receipt of direct payments</t>
  </si>
  <si>
    <t>Clients accessing community care during the year aged 65+ and in receipt of CASSR managed personal budget</t>
  </si>
  <si>
    <t>Clients accessing community care during the year aged 65+ and in receipt of CASSR commissioned support</t>
  </si>
  <si>
    <t>Ins and Outs</t>
  </si>
  <si>
    <t>Gross Current Expenditure on long term care for clients aged 18 to 64</t>
  </si>
  <si>
    <t>Gross Current Expenditure on long term care for clients aged 65+</t>
  </si>
  <si>
    <t>Gross Current Expenditure on long term care for all clients</t>
  </si>
  <si>
    <t>Gross Current Expenditure on short term care for clients aged 18 to 64</t>
  </si>
  <si>
    <t>Gross Current Expenditure on short term care for clients aged 65+</t>
  </si>
  <si>
    <t>Gross Current Expenditure on short term care for all clients</t>
  </si>
  <si>
    <t>Gross Current Expenditure on long and short term care</t>
  </si>
  <si>
    <t>Income from Better Care Fund</t>
  </si>
  <si>
    <t>Who Delivers?</t>
  </si>
  <si>
    <t>Total workforce size</t>
  </si>
  <si>
    <t>IND + LA</t>
  </si>
  <si>
    <t>Vacancy rate</t>
  </si>
  <si>
    <t>Turnover rate</t>
  </si>
  <si>
    <t>Zero Hours Contracts</t>
  </si>
  <si>
    <t>Median hourly pay</t>
  </si>
  <si>
    <t>Comparison may be too contentious</t>
  </si>
  <si>
    <t>Pay Comparisons</t>
  </si>
  <si>
    <t>NLW, Councils, NHS</t>
  </si>
  <si>
    <t>Demographics</t>
  </si>
  <si>
    <t>Qualification levels</t>
  </si>
  <si>
    <t>% ASC workforce that are female, all sectors</t>
  </si>
  <si>
    <t>% ASC workforce that are EU (non-British)</t>
  </si>
  <si>
    <t>% ASC workforce that are Non-EU</t>
  </si>
  <si>
    <t>ASCOF</t>
  </si>
  <si>
    <t>total</t>
  </si>
  <si>
    <t>18-64</t>
  </si>
  <si>
    <t>65+</t>
  </si>
  <si>
    <t>Quality of life measures</t>
  </si>
  <si>
    <t>People feeling in control of daily life</t>
  </si>
  <si>
    <t>Social isolation metrics</t>
  </si>
  <si>
    <t>Carer-reported quality of life</t>
  </si>
  <si>
    <t>No of carers supportedf by LA during year - 11314</t>
  </si>
  <si>
    <t>Reablement effectiveness (still at home 91 days post-discharge)</t>
  </si>
  <si>
    <t>Delayed discharges attributable to social care</t>
  </si>
  <si>
    <t>Safeguarding activity</t>
  </si>
  <si>
    <t>CQC quality ratings distribution</t>
  </si>
  <si>
    <t>area label</t>
  </si>
  <si>
    <t>area long label</t>
  </si>
  <si>
    <t>area</t>
  </si>
  <si>
    <t>Barking and Dagenham</t>
  </si>
  <si>
    <t>Barking and Dagenham (London borough)</t>
  </si>
  <si>
    <t>E09000002</t>
  </si>
  <si>
    <t>Barnet</t>
  </si>
  <si>
    <t>Barnet (London borough)</t>
  </si>
  <si>
    <t>E09000003</t>
  </si>
  <si>
    <t>Barnsley</t>
  </si>
  <si>
    <t>Barnsley (Metropolitan borough)</t>
  </si>
  <si>
    <t>E08000038</t>
  </si>
  <si>
    <t>Bath and North East Somerset</t>
  </si>
  <si>
    <t>Bath and North East Somerset (Unitary)</t>
  </si>
  <si>
    <t>E06000022</t>
  </si>
  <si>
    <t>Bedford Borough</t>
  </si>
  <si>
    <t>Bedford Borough (Unitary)</t>
  </si>
  <si>
    <t>E06000055</t>
  </si>
  <si>
    <t>Bexley</t>
  </si>
  <si>
    <t>Bexley (London borough)</t>
  </si>
  <si>
    <t>E09000004</t>
  </si>
  <si>
    <t>Birmingham</t>
  </si>
  <si>
    <t>Birmingham (Metropolitan borough)</t>
  </si>
  <si>
    <t>E08000025</t>
  </si>
  <si>
    <t>Blackburn with Darwen</t>
  </si>
  <si>
    <t>Blackburn with Darwen (Unitary)</t>
  </si>
  <si>
    <t>E06000008</t>
  </si>
  <si>
    <t>Blackpool</t>
  </si>
  <si>
    <t>Blackpool (Unitary)</t>
  </si>
  <si>
    <t>E06000009</t>
  </si>
  <si>
    <t>Bolton</t>
  </si>
  <si>
    <t>Bolton (Metropolitan borough)</t>
  </si>
  <si>
    <t>E08000001</t>
  </si>
  <si>
    <t>Bournemouth, Christchurch and Poole</t>
  </si>
  <si>
    <t>Bournemouth, Christchurch and Poole (Unitary)</t>
  </si>
  <si>
    <t>E06000058</t>
  </si>
  <si>
    <t>Bracknell Forest</t>
  </si>
  <si>
    <t>Bracknell Forest (Unitary)</t>
  </si>
  <si>
    <t>E06000036</t>
  </si>
  <si>
    <t>Bradford</t>
  </si>
  <si>
    <t>Bradford (Metropolitan borough)</t>
  </si>
  <si>
    <t>E08000032</t>
  </si>
  <si>
    <t>Brent</t>
  </si>
  <si>
    <t>Brent (London borough)</t>
  </si>
  <si>
    <t>E09000005</t>
  </si>
  <si>
    <t>Brighton and Hove</t>
  </si>
  <si>
    <t>Brighton and Hove (Unitary)</t>
  </si>
  <si>
    <t>E06000043</t>
  </si>
  <si>
    <t>Bristol</t>
  </si>
  <si>
    <t>Bristol (Unitary)</t>
  </si>
  <si>
    <t>E06000023</t>
  </si>
  <si>
    <t>Bromley</t>
  </si>
  <si>
    <t>Bromley (London borough)</t>
  </si>
  <si>
    <t>E09000006</t>
  </si>
  <si>
    <t>Buckinghamshire</t>
  </si>
  <si>
    <t>Buckinghamshire (Unitary)</t>
  </si>
  <si>
    <t>E06000060</t>
  </si>
  <si>
    <t>Bury</t>
  </si>
  <si>
    <t>Bury (Metropolitan borough)</t>
  </si>
  <si>
    <t>E08000002</t>
  </si>
  <si>
    <t>Calderdale</t>
  </si>
  <si>
    <t>Calderdale (Metropolitan borough)</t>
  </si>
  <si>
    <t>E08000033</t>
  </si>
  <si>
    <t>Cambridgeshire</t>
  </si>
  <si>
    <t>Cambridgeshire (County)</t>
  </si>
  <si>
    <t>E10000003</t>
  </si>
  <si>
    <t>Camden</t>
  </si>
  <si>
    <t>Camden (London borough)</t>
  </si>
  <si>
    <t>E09000007</t>
  </si>
  <si>
    <t>Central Bedfordshire</t>
  </si>
  <si>
    <t>Central Bedfordshire (Unitary)</t>
  </si>
  <si>
    <t>E06000056</t>
  </si>
  <si>
    <t>Cheshire East</t>
  </si>
  <si>
    <t>Cheshire East (Unitary)</t>
  </si>
  <si>
    <t>E06000049</t>
  </si>
  <si>
    <t>Cheshire West and Chester</t>
  </si>
  <si>
    <t>Cheshire West and Chester (Unitary)</t>
  </si>
  <si>
    <t>E06000050</t>
  </si>
  <si>
    <t>City of London</t>
  </si>
  <si>
    <t>City of London (London borough)</t>
  </si>
  <si>
    <t>E09000001</t>
  </si>
  <si>
    <t>Cornwall</t>
  </si>
  <si>
    <t>Cornwall (Unitary)</t>
  </si>
  <si>
    <t>E06000052</t>
  </si>
  <si>
    <t>Coventry</t>
  </si>
  <si>
    <t>Coventry (Metropolitan borough)</t>
  </si>
  <si>
    <t>E08000026</t>
  </si>
  <si>
    <t>Croydon</t>
  </si>
  <si>
    <t>Croydon (London borough)</t>
  </si>
  <si>
    <t>E09000008</t>
  </si>
  <si>
    <t>Cumberland</t>
  </si>
  <si>
    <t>Cumberland (Unitary)</t>
  </si>
  <si>
    <t>E06000063</t>
  </si>
  <si>
    <t>Darlington</t>
  </si>
  <si>
    <t>Darlington (Unitary)</t>
  </si>
  <si>
    <t>E06000005</t>
  </si>
  <si>
    <t>Derby</t>
  </si>
  <si>
    <t>Derby (Unitary)</t>
  </si>
  <si>
    <t>E06000015</t>
  </si>
  <si>
    <t>Derbyshire</t>
  </si>
  <si>
    <t>Derbyshire (County)</t>
  </si>
  <si>
    <t>E10000007</t>
  </si>
  <si>
    <t>Devon</t>
  </si>
  <si>
    <t>Devon (County)</t>
  </si>
  <si>
    <t>E10000008</t>
  </si>
  <si>
    <t>Doncaster</t>
  </si>
  <si>
    <t>Doncaster (Metropolitan borough)</t>
  </si>
  <si>
    <t>E08000017</t>
  </si>
  <si>
    <t>Dorset</t>
  </si>
  <si>
    <t>Dorset (Unitary)</t>
  </si>
  <si>
    <t>E06000059</t>
  </si>
  <si>
    <t>Dudley</t>
  </si>
  <si>
    <t>Dudley (Metropolitan borough)</t>
  </si>
  <si>
    <t>E08000027</t>
  </si>
  <si>
    <t>Durham</t>
  </si>
  <si>
    <t>Durham (Unitary)</t>
  </si>
  <si>
    <t>E06000047</t>
  </si>
  <si>
    <t>Ealing</t>
  </si>
  <si>
    <t>Ealing (London borough)</t>
  </si>
  <si>
    <t>E09000009</t>
  </si>
  <si>
    <t>East Riding of Yorkshire</t>
  </si>
  <si>
    <t>East Riding of Yorkshire (Unitary)</t>
  </si>
  <si>
    <t>E06000011</t>
  </si>
  <si>
    <t>East Sussex</t>
  </si>
  <si>
    <t>East Sussex (County)</t>
  </si>
  <si>
    <t>E10000011</t>
  </si>
  <si>
    <t>Enfield</t>
  </si>
  <si>
    <t>Enfield (London borough)</t>
  </si>
  <si>
    <t>E09000010</t>
  </si>
  <si>
    <t>Essex</t>
  </si>
  <si>
    <t>Essex (County)</t>
  </si>
  <si>
    <t>E10000012</t>
  </si>
  <si>
    <t>Gateshead</t>
  </si>
  <si>
    <t>Gateshead (Metropolitan borough)</t>
  </si>
  <si>
    <t>E08000037</t>
  </si>
  <si>
    <t>Gloucestershire</t>
  </si>
  <si>
    <t>Gloucestershire (County)</t>
  </si>
  <si>
    <t>E10000013</t>
  </si>
  <si>
    <t>Greenwich</t>
  </si>
  <si>
    <t>Greenwich (London borough)</t>
  </si>
  <si>
    <t>E09000011</t>
  </si>
  <si>
    <t>Hackney</t>
  </si>
  <si>
    <t>Hackney (London borough)</t>
  </si>
  <si>
    <t>E09000012</t>
  </si>
  <si>
    <t>Halton</t>
  </si>
  <si>
    <t>Halton (Unitary)</t>
  </si>
  <si>
    <t>E06000006</t>
  </si>
  <si>
    <t>Hammersmith and Fulham</t>
  </si>
  <si>
    <t>Hammersmith and Fulham (London borough)</t>
  </si>
  <si>
    <t>E09000013</t>
  </si>
  <si>
    <t>Hampshire</t>
  </si>
  <si>
    <t>Hampshire (County)</t>
  </si>
  <si>
    <t>E10000014</t>
  </si>
  <si>
    <t>Haringey</t>
  </si>
  <si>
    <t>Haringey (London borough)</t>
  </si>
  <si>
    <t>E09000014</t>
  </si>
  <si>
    <t>Harrow</t>
  </si>
  <si>
    <t>Harrow (London borough)</t>
  </si>
  <si>
    <t>E09000015</t>
  </si>
  <si>
    <t>Hartlepool</t>
  </si>
  <si>
    <t>Hartlepool (Unitary)</t>
  </si>
  <si>
    <t>E06000001</t>
  </si>
  <si>
    <t>Havering</t>
  </si>
  <si>
    <t>Havering (London borough)</t>
  </si>
  <si>
    <t>E09000016</t>
  </si>
  <si>
    <t>Herefordshire</t>
  </si>
  <si>
    <t>Herefordshire (Unitary)</t>
  </si>
  <si>
    <t>E06000019</t>
  </si>
  <si>
    <t>Hertfordshire</t>
  </si>
  <si>
    <t>Hertfordshire (County)</t>
  </si>
  <si>
    <t>E10000015</t>
  </si>
  <si>
    <t>Hillingdon</t>
  </si>
  <si>
    <t>Hillingdon (London borough)</t>
  </si>
  <si>
    <t>E09000017</t>
  </si>
  <si>
    <t>Hounslow</t>
  </si>
  <si>
    <t>Hounslow (London borough)</t>
  </si>
  <si>
    <t>E09000018</t>
  </si>
  <si>
    <t>Isle of Wight</t>
  </si>
  <si>
    <t>Isle of Wight (Unitary)</t>
  </si>
  <si>
    <t>E06000046</t>
  </si>
  <si>
    <t>Isles of Scilly</t>
  </si>
  <si>
    <t>Isles of Scilly (Unitary)</t>
  </si>
  <si>
    <t>E06000053</t>
  </si>
  <si>
    <t>Islington</t>
  </si>
  <si>
    <t>Islington (London borough)</t>
  </si>
  <si>
    <t>E09000019</t>
  </si>
  <si>
    <t>Kensington and Chelsea</t>
  </si>
  <si>
    <t>Kensington and Chelsea (London borough)</t>
  </si>
  <si>
    <t>E09000020</t>
  </si>
  <si>
    <t>Kent</t>
  </si>
  <si>
    <t>Kent (County)</t>
  </si>
  <si>
    <t>E10000016</t>
  </si>
  <si>
    <t>Kingston upon Hull</t>
  </si>
  <si>
    <t>Kingston upon Hull (Unitary)</t>
  </si>
  <si>
    <t>E06000010</t>
  </si>
  <si>
    <t>Kingston upon Thames</t>
  </si>
  <si>
    <t>Kingston upon Thames (London borough)</t>
  </si>
  <si>
    <t>E09000021</t>
  </si>
  <si>
    <t>Kirklees</t>
  </si>
  <si>
    <t>Kirklees (Metropolitan borough)</t>
  </si>
  <si>
    <t>E08000034</t>
  </si>
  <si>
    <t>Knowsley</t>
  </si>
  <si>
    <t>Knowsley (Metropolitan borough)</t>
  </si>
  <si>
    <t>E08000011</t>
  </si>
  <si>
    <t>Lambeth</t>
  </si>
  <si>
    <t>Lambeth (London borough)</t>
  </si>
  <si>
    <t>E09000022</t>
  </si>
  <si>
    <t>Lancashire</t>
  </si>
  <si>
    <t>Lancashire (County)</t>
  </si>
  <si>
    <t>E10000017</t>
  </si>
  <si>
    <t>Leeds</t>
  </si>
  <si>
    <t>Leeds (Metropolitan borough)</t>
  </si>
  <si>
    <t>E08000035</t>
  </si>
  <si>
    <t>Leicester</t>
  </si>
  <si>
    <t>Leicester (Unitary)</t>
  </si>
  <si>
    <t>E06000016</t>
  </si>
  <si>
    <t>Leicestershire</t>
  </si>
  <si>
    <t>Leicestershire (County)</t>
  </si>
  <si>
    <t>E10000018</t>
  </si>
  <si>
    <t>Lewisham</t>
  </si>
  <si>
    <t>Lewisham (London borough)</t>
  </si>
  <si>
    <t>E09000023</t>
  </si>
  <si>
    <t>Lincolnshire</t>
  </si>
  <si>
    <t>Lincolnshire (County)</t>
  </si>
  <si>
    <t>E10000019</t>
  </si>
  <si>
    <t>Liverpool</t>
  </si>
  <si>
    <t>Liverpool (Metropolitan borough)</t>
  </si>
  <si>
    <t>E08000012</t>
  </si>
  <si>
    <t>Luton</t>
  </si>
  <si>
    <t>Luton (Unitary)</t>
  </si>
  <si>
    <t>E06000032</t>
  </si>
  <si>
    <t>Manchester</t>
  </si>
  <si>
    <t>Manchester (Metropolitan borough)</t>
  </si>
  <si>
    <t>E08000003</t>
  </si>
  <si>
    <t>Medway</t>
  </si>
  <si>
    <t>Medway (Unitary)</t>
  </si>
  <si>
    <t>E06000035</t>
  </si>
  <si>
    <t>Merton</t>
  </si>
  <si>
    <t>Merton (London borough)</t>
  </si>
  <si>
    <t>E09000024</t>
  </si>
  <si>
    <t>Middlesbrough</t>
  </si>
  <si>
    <t>Middlesbrough (Unitary)</t>
  </si>
  <si>
    <t>E06000002</t>
  </si>
  <si>
    <t>Milton Keynes</t>
  </si>
  <si>
    <t>Milton Keynes (Unitary)</t>
  </si>
  <si>
    <t>E06000042</t>
  </si>
  <si>
    <t>Newcastle upon Tyne</t>
  </si>
  <si>
    <t>Newcastle upon Tyne (Metropolitan borough)</t>
  </si>
  <si>
    <t>E08000021</t>
  </si>
  <si>
    <t>Newham</t>
  </si>
  <si>
    <t>Newham (London borough)</t>
  </si>
  <si>
    <t>E09000025</t>
  </si>
  <si>
    <t>Norfolk</t>
  </si>
  <si>
    <t>Norfolk (County)</t>
  </si>
  <si>
    <t>E10000020</t>
  </si>
  <si>
    <t>North East Lincolnshire</t>
  </si>
  <si>
    <t>North East Lincolnshire (Unitary)</t>
  </si>
  <si>
    <t>E06000012</t>
  </si>
  <si>
    <t>North Lincolnshire</t>
  </si>
  <si>
    <t>North Lincolnshire (Unitary)</t>
  </si>
  <si>
    <t>E06000013</t>
  </si>
  <si>
    <t>North Northamptonshire</t>
  </si>
  <si>
    <t>North Northamptonshire (Unitary)</t>
  </si>
  <si>
    <t>E06000061</t>
  </si>
  <si>
    <t>North Somerset</t>
  </si>
  <si>
    <t>North Somerset (Unitary)</t>
  </si>
  <si>
    <t>E06000024</t>
  </si>
  <si>
    <t>North Tyneside</t>
  </si>
  <si>
    <t>North Tyneside (Metropolitan borough)</t>
  </si>
  <si>
    <t>E08000022</t>
  </si>
  <si>
    <t>North Yorkshire</t>
  </si>
  <si>
    <t>North Yorkshire (Unitary)</t>
  </si>
  <si>
    <t>E06000065</t>
  </si>
  <si>
    <t>Northumberland</t>
  </si>
  <si>
    <t>Northumberland (Unitary)</t>
  </si>
  <si>
    <t>E06000057</t>
  </si>
  <si>
    <t>Nottingham</t>
  </si>
  <si>
    <t>Nottingham (Unitary)</t>
  </si>
  <si>
    <t>E06000018</t>
  </si>
  <si>
    <t>Nottinghamshire</t>
  </si>
  <si>
    <t>Nottinghamshire (County)</t>
  </si>
  <si>
    <t>E10000024</t>
  </si>
  <si>
    <t>Oldham</t>
  </si>
  <si>
    <t>Oldham (Metropolitan borough)</t>
  </si>
  <si>
    <t>E08000004</t>
  </si>
  <si>
    <t>Oxfordshire</t>
  </si>
  <si>
    <t>Oxfordshire (County)</t>
  </si>
  <si>
    <t>E10000025</t>
  </si>
  <si>
    <t>Peterborough</t>
  </si>
  <si>
    <t>Peterborough (Unitary)</t>
  </si>
  <si>
    <t>E06000031</t>
  </si>
  <si>
    <t>Plymouth</t>
  </si>
  <si>
    <t>Plymouth (Unitary)</t>
  </si>
  <si>
    <t>E06000026</t>
  </si>
  <si>
    <t>Portsmouth</t>
  </si>
  <si>
    <t>Portsmouth (Unitary)</t>
  </si>
  <si>
    <t>E06000044</t>
  </si>
  <si>
    <t>Reading</t>
  </si>
  <si>
    <t>Reading (Unitary)</t>
  </si>
  <si>
    <t>E06000038</t>
  </si>
  <si>
    <t>Redbridge</t>
  </si>
  <si>
    <t>Redbridge (London borough)</t>
  </si>
  <si>
    <t>E09000026</t>
  </si>
  <si>
    <t>Redcar and Cleveland</t>
  </si>
  <si>
    <t>Redcar and Cleveland (Unitary)</t>
  </si>
  <si>
    <t>E06000003</t>
  </si>
  <si>
    <t>Richmond upon Thames</t>
  </si>
  <si>
    <t>Richmond upon Thames (London borough)</t>
  </si>
  <si>
    <t>E09000027</t>
  </si>
  <si>
    <t>Rochdale</t>
  </si>
  <si>
    <t>Rochdale (Metropolitan borough)</t>
  </si>
  <si>
    <t>E08000005</t>
  </si>
  <si>
    <t>Rotherham</t>
  </si>
  <si>
    <t>Rotherham (Metropolitan borough)</t>
  </si>
  <si>
    <t>E08000018</t>
  </si>
  <si>
    <t>Rutland</t>
  </si>
  <si>
    <t>Rutland (Unitary)</t>
  </si>
  <si>
    <t>E06000017</t>
  </si>
  <si>
    <t>Salford</t>
  </si>
  <si>
    <t>Salford (Metropolitan borough)</t>
  </si>
  <si>
    <t>E08000006</t>
  </si>
  <si>
    <t>Sandwell</t>
  </si>
  <si>
    <t>Sandwell (Metropolitan borough)</t>
  </si>
  <si>
    <t>E08000028</t>
  </si>
  <si>
    <t>Sefton</t>
  </si>
  <si>
    <t>Sefton (Metropolitan borough)</t>
  </si>
  <si>
    <t>E08000014</t>
  </si>
  <si>
    <t>Sheffield</t>
  </si>
  <si>
    <t>Sheffield (Metropolitan borough)</t>
  </si>
  <si>
    <t>E08000039</t>
  </si>
  <si>
    <t>Shropshire</t>
  </si>
  <si>
    <t>Shropshire (Unitary)</t>
  </si>
  <si>
    <t>E06000051</t>
  </si>
  <si>
    <t>Slough</t>
  </si>
  <si>
    <t>Slough (Unitary)</t>
  </si>
  <si>
    <t>E06000039</t>
  </si>
  <si>
    <t>Solihull</t>
  </si>
  <si>
    <t>Solihull (Metropolitan borough)</t>
  </si>
  <si>
    <t>E08000029</t>
  </si>
  <si>
    <t>Somerset</t>
  </si>
  <si>
    <t>Somerset (Unitary)</t>
  </si>
  <si>
    <t>E06000066</t>
  </si>
  <si>
    <t>South Gloucestershire</t>
  </si>
  <si>
    <t>South Gloucestershire (Unitary)</t>
  </si>
  <si>
    <t>E06000025</t>
  </si>
  <si>
    <t>South Tyneside</t>
  </si>
  <si>
    <t>South Tyneside (Metropolitan borough)</t>
  </si>
  <si>
    <t>E08000023</t>
  </si>
  <si>
    <t>Southampton</t>
  </si>
  <si>
    <t>Southampton (Unitary)</t>
  </si>
  <si>
    <t>E06000045</t>
  </si>
  <si>
    <t>Southend-on-Sea</t>
  </si>
  <si>
    <t>Southend-on-Sea (Unitary)</t>
  </si>
  <si>
    <t>E06000033</t>
  </si>
  <si>
    <t>Southwark</t>
  </si>
  <si>
    <t>Southwark (London borough)</t>
  </si>
  <si>
    <t>E09000028</t>
  </si>
  <si>
    <t>St. Helens</t>
  </si>
  <si>
    <t>St. Helens (Metropolitan borough)</t>
  </si>
  <si>
    <t>E08000013</t>
  </si>
  <si>
    <t>Staffordshire</t>
  </si>
  <si>
    <t>Staffordshire (County)</t>
  </si>
  <si>
    <t>E10000028</t>
  </si>
  <si>
    <t>Stockport</t>
  </si>
  <si>
    <t>Stockport (Metropolitan borough)</t>
  </si>
  <si>
    <t>E08000007</t>
  </si>
  <si>
    <t>Stockton-on-Tees</t>
  </si>
  <si>
    <t>Stockton-on-Tees (Unitary)</t>
  </si>
  <si>
    <t>E06000004</t>
  </si>
  <si>
    <t>Stoke-on-Trent</t>
  </si>
  <si>
    <t>Stoke-on-Trent (Unitary)</t>
  </si>
  <si>
    <t>E06000021</t>
  </si>
  <si>
    <t>Suffolk</t>
  </si>
  <si>
    <t>Suffolk (County)</t>
  </si>
  <si>
    <t>E10000029</t>
  </si>
  <si>
    <t>Sunderland</t>
  </si>
  <si>
    <t>Sunderland (Metropolitan borough)</t>
  </si>
  <si>
    <t>E08000024</t>
  </si>
  <si>
    <t>Surrey</t>
  </si>
  <si>
    <t>Surrey (County)</t>
  </si>
  <si>
    <t>E10000030</t>
  </si>
  <si>
    <t>Sutton</t>
  </si>
  <si>
    <t>Sutton (London borough)</t>
  </si>
  <si>
    <t>E09000029</t>
  </si>
  <si>
    <t>Swindon</t>
  </si>
  <si>
    <t>Swindon (Unitary)</t>
  </si>
  <si>
    <t>E06000030</t>
  </si>
  <si>
    <t>Tameside</t>
  </si>
  <si>
    <t>Tameside (Metropolitan borough)</t>
  </si>
  <si>
    <t>E08000008</t>
  </si>
  <si>
    <t>Telford and Wrekin</t>
  </si>
  <si>
    <t>Telford and Wrekin (Unitary)</t>
  </si>
  <si>
    <t>E06000020</t>
  </si>
  <si>
    <t>Thurrock</t>
  </si>
  <si>
    <t>Thurrock (Unitary)</t>
  </si>
  <si>
    <t>E06000034</t>
  </si>
  <si>
    <t>Torbay</t>
  </si>
  <si>
    <t>Torbay (Unitary)</t>
  </si>
  <si>
    <t>E06000027</t>
  </si>
  <si>
    <t>Tower Hamlets</t>
  </si>
  <si>
    <t>Tower Hamlets (London borough)</t>
  </si>
  <si>
    <t>E09000030</t>
  </si>
  <si>
    <t>Trafford</t>
  </si>
  <si>
    <t>Trafford (Metropolitan borough)</t>
  </si>
  <si>
    <t>E08000009</t>
  </si>
  <si>
    <t>Wakefield</t>
  </si>
  <si>
    <t>Wakefield (Metropolitan borough)</t>
  </si>
  <si>
    <t>E08000036</t>
  </si>
  <si>
    <t>Walsall</t>
  </si>
  <si>
    <t>Walsall (Metropolitan borough)</t>
  </si>
  <si>
    <t>E08000030</t>
  </si>
  <si>
    <t>Waltham Forest</t>
  </si>
  <si>
    <t>Waltham Forest (London borough)</t>
  </si>
  <si>
    <t>E09000031</t>
  </si>
  <si>
    <t>Wandsworth</t>
  </si>
  <si>
    <t>Wandsworth (London borough)</t>
  </si>
  <si>
    <t>E09000032</t>
  </si>
  <si>
    <t>Warrington</t>
  </si>
  <si>
    <t>Warrington (Unitary)</t>
  </si>
  <si>
    <t>E06000007</t>
  </si>
  <si>
    <t>Warwickshire</t>
  </si>
  <si>
    <t>Warwickshire (County)</t>
  </si>
  <si>
    <t>E10000031</t>
  </si>
  <si>
    <t>West Berkshire</t>
  </si>
  <si>
    <t>West Berkshire (Unitary)</t>
  </si>
  <si>
    <t>E06000037</t>
  </si>
  <si>
    <t>West Northamptonshire</t>
  </si>
  <si>
    <t>West Northamptonshire (Unitary)</t>
  </si>
  <si>
    <t>E06000062</t>
  </si>
  <si>
    <t>West Sussex</t>
  </si>
  <si>
    <t>West Sussex (County)</t>
  </si>
  <si>
    <t>E10000032</t>
  </si>
  <si>
    <t>Westminster</t>
  </si>
  <si>
    <t>Westminster (London borough)</t>
  </si>
  <si>
    <t>E09000033</t>
  </si>
  <si>
    <t>Westmorland and Furness</t>
  </si>
  <si>
    <t>Westmorland and Furness (Unitary)</t>
  </si>
  <si>
    <t>E06000064</t>
  </si>
  <si>
    <t>Wigan</t>
  </si>
  <si>
    <t>Wigan (Metropolitan borough)</t>
  </si>
  <si>
    <t>E08000010</t>
  </si>
  <si>
    <t>Wiltshire</t>
  </si>
  <si>
    <t>Wiltshire (Unitary)</t>
  </si>
  <si>
    <t>E06000054</t>
  </si>
  <si>
    <t>Windsor and Maidenhead</t>
  </si>
  <si>
    <t>Windsor and Maidenhead (Unitary)</t>
  </si>
  <si>
    <t>E06000040</t>
  </si>
  <si>
    <t>Wirral</t>
  </si>
  <si>
    <t>Wirral (Metropolitan borough)</t>
  </si>
  <si>
    <t>E08000015</t>
  </si>
  <si>
    <t>Wokingham</t>
  </si>
  <si>
    <t>Wokingham (Unitary)</t>
  </si>
  <si>
    <t>E06000041</t>
  </si>
  <si>
    <t>Wolverhampton</t>
  </si>
  <si>
    <t>Wolverhampton (Metropolitan borough)</t>
  </si>
  <si>
    <t>E08000031</t>
  </si>
  <si>
    <t>Worcestershire</t>
  </si>
  <si>
    <t>Worcestershire (County)</t>
  </si>
  <si>
    <t>E10000034</t>
  </si>
  <si>
    <t>York</t>
  </si>
  <si>
    <t>York (Unitary)</t>
  </si>
  <si>
    <t>E06000014</t>
  </si>
  <si>
    <t>England (Country)</t>
  </si>
  <si>
    <t>E92000001</t>
  </si>
  <si>
    <t>East (ADASS Region)</t>
  </si>
  <si>
    <t>ADASS-172176</t>
  </si>
  <si>
    <t>East Midlands (ADASS Region)</t>
  </si>
  <si>
    <t>ADASS-172177</t>
  </si>
  <si>
    <t>Greater London (ADASS Region)</t>
  </si>
  <si>
    <t>ADASS-172178</t>
  </si>
  <si>
    <t>North East (ADASS Region)</t>
  </si>
  <si>
    <t>ADASS-172179</t>
  </si>
  <si>
    <t>North West (ADASS Region)</t>
  </si>
  <si>
    <t>ADASS-172180</t>
  </si>
  <si>
    <t>South East (ADASS Region)</t>
  </si>
  <si>
    <t>ADASS-172181</t>
  </si>
  <si>
    <t>South West (ADASS Region)</t>
  </si>
  <si>
    <t>ADASS-172182</t>
  </si>
  <si>
    <t>West Midlands (ADASS Region)</t>
  </si>
  <si>
    <t>ADASS-172183</t>
  </si>
  <si>
    <t>Yorkshire and Humber (ADASS Region)</t>
  </si>
  <si>
    <t>ADASS-172184</t>
  </si>
  <si>
    <t>Population aged 18+</t>
  </si>
  <si>
    <t>Population aged 18+ - 10 year change</t>
  </si>
  <si>
    <t>Population aged 18-64 - 10 year change</t>
  </si>
  <si>
    <t>Population aged 65+ - 10 year change</t>
  </si>
  <si>
    <t>Population aged 85+ - 10 year change</t>
  </si>
  <si>
    <t>People with a learning disability, total supported, 18+</t>
  </si>
  <si>
    <t>People with a learning disability, total supported, 18-64</t>
  </si>
  <si>
    <t>No. of residents with long term illness or disability</t>
  </si>
  <si>
    <t>% of residents with long term illness or disability</t>
  </si>
  <si>
    <t>No. of residents in bad or very bad health</t>
  </si>
  <si>
    <t>% of residents in bad or very bad health</t>
  </si>
  <si>
    <t>No. of residents providing of 1 hour+ unpaid care per week</t>
  </si>
  <si>
    <t>No. of residents providing of 1 hour+ unpaid care per week (per 100.0 people)</t>
  </si>
  <si>
    <t>% of residents that provides 1 to 19 hours unpaid care a week</t>
  </si>
  <si>
    <t>% of residents that provides 20 to 49 hours unpaid care a week</t>
  </si>
  <si>
    <t>% of residents that provides 50+ hours unpaid care a week</t>
  </si>
  <si>
    <t>CALC</t>
  </si>
  <si>
    <t>3326M/3281M*100.0N</t>
  </si>
  <si>
    <t>People</t>
  </si>
  <si>
    <t>Years</t>
  </si>
  <si>
    <t>%</t>
  </si>
  <si>
    <t>Count</t>
  </si>
  <si>
    <t>raw</t>
  </si>
  <si>
    <t>cen_2021</t>
  </si>
  <si>
    <t>2014-2024</t>
  </si>
  <si>
    <t>2022-24</t>
  </si>
  <si>
    <t>2023/24</t>
  </si>
  <si>
    <t>threeyp_2022_24</t>
  </si>
  <si>
    <t>fin_2023_24</t>
  </si>
  <si>
    <t>Suppressed</t>
  </si>
  <si>
    <t>Missing</t>
  </si>
  <si>
    <t>% accessing long-term support, 18 to 64</t>
  </si>
  <si>
    <t>% accessing long-term support, 65+</t>
  </si>
  <si>
    <t>Care home beds change YoY</t>
  </si>
  <si>
    <t>Percentage increase YoY</t>
  </si>
  <si>
    <t>2024/25</t>
  </si>
  <si>
    <t>fin_2024_25</t>
  </si>
  <si>
    <t>No. of ASC vacancies, all sectors, all services</t>
  </si>
  <si>
    <t>Score</t>
  </si>
  <si>
    <t>No. of ASC employees, all sectors, all services</t>
  </si>
  <si>
    <t>Filled ASC posts, LA and independent sectors</t>
  </si>
  <si>
    <t>+</t>
  </si>
  <si>
    <t>Local Authority</t>
  </si>
  <si>
    <t>Independent</t>
  </si>
  <si>
    <t>Filled ASC posts, independent sector</t>
  </si>
  <si>
    <t>Filled ASC posts, LA sector</t>
  </si>
  <si>
    <t>Non British</t>
  </si>
  <si>
    <t>% + %</t>
  </si>
  <si>
    <t>NonGB_2024_25</t>
  </si>
  <si>
    <t>% Part time ASC jobs, all sectors</t>
  </si>
  <si>
    <t>Avg. age of ASC workforce</t>
  </si>
  <si>
    <t>Mean</t>
  </si>
  <si>
    <t>% ASC workforce - White Ethnic Group, all sectors</t>
  </si>
  <si>
    <t>% Ethnic Minority</t>
  </si>
  <si>
    <t>TOTAL</t>
  </si>
  <si>
    <t>chart in output tab</t>
  </si>
  <si>
    <t>Filled ASC posts, direct care role</t>
  </si>
  <si>
    <t>Filled ASC posts, managerial role</t>
  </si>
  <si>
    <t>Filled ASC posts, regulated professional role</t>
  </si>
  <si>
    <t>Filled ASC posts, other role</t>
  </si>
  <si>
    <t>Gross Current Expenditure on adult social care 24/25 per adult</t>
  </si>
  <si>
    <t>NET REVENUE EXPENDITURE (total of lines 800 to 804) (RS)</t>
  </si>
  <si>
    <t>SOCIAL CARE/TOTAL BUDGET</t>
  </si>
  <si>
    <t>% Spent on Older Adults (2024/25)</t>
  </si>
  <si>
    <t>Gross current expenditure on long and short term learning disability support, 18 to 64</t>
  </si>
  <si>
    <t>% of Younger Adults Spend on LD</t>
  </si>
  <si>
    <t>LD spend % on Younger Adults</t>
  </si>
  <si>
    <t>Gross total expenditure on all social care with physical support for adult aged 65+</t>
  </si>
  <si>
    <t>% of Older Adults Spend on Physical Support</t>
  </si>
  <si>
    <t>Physical Support spend % on Older Adults</t>
  </si>
  <si>
    <t>Long term Care - % of Total</t>
  </si>
  <si>
    <t>Short term Care - % of Total</t>
  </si>
  <si>
    <t>% adults with control over their daily life, 65+</t>
  </si>
  <si>
    <t>1C Quality of life of carers (score out of 12)</t>
  </si>
  <si>
    <t>bifin_2023_24</t>
  </si>
  <si>
    <t>Quality of life of carers aged 65+ (score out of 12)</t>
  </si>
  <si>
    <t>4A % adults who use services who feel safe</t>
  </si>
  <si>
    <t>Total Older People Expenditure</t>
  </si>
  <si>
    <t>% adults who use services who feel safe, 65+</t>
  </si>
  <si>
    <t>6B % care homes rated good or outstanding by CQC</t>
  </si>
  <si>
    <t>Total 18-64 People Expenditure</t>
  </si>
  <si>
    <t>Number of carers supported by LA during the year</t>
  </si>
  <si>
    <t>2022/23</t>
  </si>
  <si>
    <t>fin_2022_23</t>
  </si>
  <si>
    <t>Average spend per person per year accessing adult social care - 18-64</t>
  </si>
  <si>
    <t>Average spend per person per year in the population - 18-64</t>
  </si>
  <si>
    <t>Average spend per person per year accessing adult social care - 65+</t>
  </si>
  <si>
    <t>Average spend per person per year in the population - 65+</t>
  </si>
  <si>
    <t>Spend on long and short term care per long-term client, aged 18-64</t>
  </si>
  <si>
    <t>Spend on long and short term care per long-term client, aged 65+</t>
  </si>
  <si>
    <t>Spend on long and short term care per person, aged 18-64</t>
  </si>
  <si>
    <t>Spend on long and short term care per person, aged 65+</t>
  </si>
  <si>
    <t>GBP per person</t>
  </si>
  <si>
    <r>
      <rPr>
        <sz val="11"/>
        <color rgb="FF94C21F"/>
        <rFont val="Arial"/>
        <family val="2"/>
      </rPr>
      <t>Numbers over time,</t>
    </r>
    <r>
      <rPr>
        <sz val="11"/>
        <color theme="1"/>
        <rFont val="Arial"/>
        <family val="2"/>
      </rPr>
      <t xml:space="preserve"> costs</t>
    </r>
  </si>
  <si>
    <t>Adult social care income from client contributions</t>
  </si>
  <si>
    <t>Adult social care income from joint arrangements</t>
  </si>
  <si>
    <t>Adult social care income from NHS</t>
  </si>
  <si>
    <t>Adult social care income from other sources</t>
  </si>
  <si>
    <t>Client contributions</t>
  </si>
  <si>
    <t>Joint arrangements</t>
  </si>
  <si>
    <t>Other</t>
  </si>
  <si>
    <t>BCF</t>
  </si>
  <si>
    <t>NHS Contributions - non-BCF</t>
  </si>
  <si>
    <t>£ millions</t>
  </si>
  <si>
    <t>Clients in long-term support</t>
  </si>
  <si>
    <t>% Adults in long term support</t>
  </si>
  <si>
    <t>Clients accessing community care during the year aged 18-64 - Unknown services</t>
  </si>
  <si>
    <t>Clients accessing community care during the year aged 65+ - Unknown services</t>
  </si>
  <si>
    <t>Total cared for in the community</t>
  </si>
  <si>
    <t>% cared for in the community</t>
  </si>
  <si>
    <t>Clients accessing LT care during the year aged 18-64</t>
  </si>
  <si>
    <t>Clients accessing LT care during the year aged 65+</t>
  </si>
  <si>
    <t>Proportion 18-64s accessing long term support</t>
  </si>
  <si>
    <t>Proportion over 65s accessing long term support</t>
  </si>
  <si>
    <t>charts in output tab</t>
  </si>
  <si>
    <t>In Nursing or Residential Care</t>
  </si>
  <si>
    <t>In the Community</t>
  </si>
  <si>
    <t>% 18-64 cared for in the community</t>
  </si>
  <si>
    <t>18-64 cared for in the community</t>
  </si>
  <si>
    <t>65+ cared for in the community</t>
  </si>
  <si>
    <t>% 65+ cared for in the community</t>
  </si>
  <si>
    <t>1D Overall satisfaction of adults with their care and support</t>
  </si>
  <si>
    <t>Satisfied with the care and support they receive</t>
  </si>
  <si>
    <t>Felt care and support services help them feel safe</t>
  </si>
  <si>
    <t>Charts in output tab</t>
  </si>
  <si>
    <t>Chart in output tab</t>
  </si>
  <si>
    <t>Need</t>
  </si>
  <si>
    <t>Care Users</t>
  </si>
  <si>
    <t>Finance</t>
  </si>
  <si>
    <t>Workforce</t>
  </si>
  <si>
    <t>Outcomes</t>
  </si>
  <si>
    <t>East (ADASS Region) (ADASS Region)</t>
  </si>
  <si>
    <t>East Midlands (ADASS Region) (ADASS Region)</t>
  </si>
  <si>
    <t>North East (ADASS Region) (ADASS Region)</t>
  </si>
  <si>
    <t>North West (ADASS Region) (ADASS Region)</t>
  </si>
  <si>
    <t>1A Social care-related quality of life (score out of 24)</t>
  </si>
  <si>
    <t>Social care-related quality of life for adults aged 18-64 (score out of 24)</t>
  </si>
  <si>
    <t>Social care-related quality of life for adults aged 65+ (score out of 24)</t>
  </si>
  <si>
    <t>3A % adults with control over their daily life</t>
  </si>
  <si>
    <t>Contents</t>
  </si>
  <si>
    <t>Working Age Population Share</t>
  </si>
  <si>
    <t>Older Adult PopulationShare</t>
  </si>
  <si>
    <t>Working Age Populatio Share - 2014</t>
  </si>
  <si>
    <t>Older Adult Population Share - 2014</t>
  </si>
  <si>
    <t>Working Age Learning Disabilites Population Share</t>
  </si>
  <si>
    <t>Number of Carers supported by the LA - YoY change</t>
  </si>
  <si>
    <t>Population aged 18-64 (count)</t>
  </si>
  <si>
    <t>Population aged 65 and over</t>
  </si>
  <si>
    <t>Gross Current Expenditure on adult social care</t>
  </si>
  <si>
    <t>Net Current Expenditure - TOTAL ADULT SOCIAL CARE</t>
  </si>
  <si>
    <t>Select Council:</t>
  </si>
  <si>
    <t>Adult Social Care Infographic Toolkit</t>
  </si>
  <si>
    <t>Feedback</t>
  </si>
  <si>
    <t>Contact</t>
  </si>
  <si>
    <t>pchdata@local.gov.uk</t>
  </si>
  <si>
    <t>Date of Last Update</t>
  </si>
  <si>
    <t>We are currently running a feedback survey for views on this toolkit and other data tools and reports provided by PCH. A link to the feedback survey is in the cell below. Other feedback can be sent to the contact email address below.</t>
  </si>
  <si>
    <t>Data Tool Link</t>
  </si>
  <si>
    <t>Data Sources</t>
  </si>
  <si>
    <t>Instructions</t>
  </si>
  <si>
    <t>Click Here</t>
  </si>
  <si>
    <t>Date</t>
  </si>
  <si>
    <t>Version</t>
  </si>
  <si>
    <t>Summary of Changes</t>
  </si>
  <si>
    <t>File created and uploaded</t>
  </si>
  <si>
    <t>Freepik Icon Database</t>
  </si>
  <si>
    <t>Link</t>
  </si>
  <si>
    <t>Users select a council from cell C4 above, which then drives the underlying processes and analysis in the workbook itself. The "Output" tab is the main infographic - selecting "File &gt; Print" gives it in printable format.
Changes can be made in the output tab - users can click individual objects in the infographic, all of which are linked to a cell in one of the processing tabs. Some objects may need resizing or reformatting - this can be done manually by users.
Additional icons can be used - with credit - from the database hosted by Flaticon (see link below). Icons are made by Freepik.</t>
  </si>
  <si>
    <t>This spreadsheet provides a toolkit to generate an infographic showing key facts around social care, with local authorities, regions, and England all selectable. Data is the latest available unless specified, and draws from a range of metrics available in LG Inform.
All data used in this toolkit can be downloaded from LG Inform Plus by registered users of the service using the link below.
Users can edit the output and processing tabs as they wish. Additional data is available in LG Inform and LG Inform plus. All council staff and members can register with LG Inform for free.</t>
  </si>
  <si>
    <t>Feedback Survey</t>
  </si>
  <si>
    <t>Publisher</t>
  </si>
  <si>
    <t>Publication</t>
  </si>
  <si>
    <t>Care Quality Commission (CQC)</t>
  </si>
  <si>
    <t>Care directory</t>
  </si>
  <si>
    <t>Department of Health and Social Care</t>
  </si>
  <si>
    <t>Adult social care activity report</t>
  </si>
  <si>
    <t>Measures from the Adult Social Care Outcomes Framework</t>
  </si>
  <si>
    <t>Ministry of Housing, Communities, and Local Government</t>
  </si>
  <si>
    <t>Revenue Outturn Summary (RS)</t>
  </si>
  <si>
    <t>Revenue Outturn: Social Care and Public Health (RO3)</t>
  </si>
  <si>
    <t>Office for National Statistics</t>
  </si>
  <si>
    <t>Census</t>
  </si>
  <si>
    <t>Health and life expectancies</t>
  </si>
  <si>
    <t>Mid-year estimates</t>
  </si>
  <si>
    <t>Skills for Care</t>
  </si>
  <si>
    <t>Adult social care workforce estimates</t>
  </si>
  <si>
    <t>Output - a five page infographic, scaled to fit a printed page.
Five processing tabs (Need, Care Users, Finance, Workforce, and Outcomes) which drive the output tab
A Datasheet, which powers the processing tabs, with the underlying data drawn from LG Inform. The sources tab gives a full list of LG inform measures used in the infographic.
A Calculations tab which drives further elements of the processing tabs.
Colour Scheme - the PCH colour scheme with hex codes to allow users to use a consistent colour palette</t>
  </si>
  <si>
    <t>Data sources added in full</t>
  </si>
  <si>
    <t>Measure</t>
  </si>
  <si>
    <t>Data Updated</t>
  </si>
  <si>
    <t>Population - all persons aged 18 and over </t>
  </si>
  <si>
    <t>26 Feb 2026</t>
  </si>
  <si>
    <t>Office for National Statistics, Mid-year estimates, Population, all persons aged 18 and over , Data updated: 26 Feb 2026</t>
  </si>
  <si>
    <t>Population - all persons aged 18 to 64 (count) </t>
  </si>
  <si>
    <t>Office for National Statistics, Mid-year estimates, Population, all persons aged 18 to 64 (count) , Data updated: 26 Feb 2026</t>
  </si>
  <si>
    <t>Population - all persons older people aged 65 and over </t>
  </si>
  <si>
    <t>Office for National Statistics, Mid-year estimates, Population, all persons older people aged 65 and over , Data updated: 26 Feb 2026</t>
  </si>
  <si>
    <t>Population - all persons aged 85 and over </t>
  </si>
  <si>
    <t>Office for National Statistics, Mid-year estimates, Population, all persons aged 85 and over , Data updated: 26 Feb 2026</t>
  </si>
  <si>
    <t>Number of usual residents providing 1 or more hour of unpaid care per week </t>
  </si>
  <si>
    <t>19 Jan 2023</t>
  </si>
  <si>
    <t>Office for National Statistics, Census, Number of usual residents providing 1 or more hour of unpaid care per week , Data updated: 19 Jan 2023</t>
  </si>
  <si>
    <t>Total resident population </t>
  </si>
  <si>
    <t>Office for National Statistics, Mid-year estimates, Total resident population , Data updated: 26 Feb 2026</t>
  </si>
  <si>
    <t>Life expectancy at birth - male </t>
  </si>
  <si>
    <t>05 Jan 2026</t>
  </si>
  <si>
    <t>Office for National Statistics, Health and life expectancies, Life expectancy at birth - male , Data updated: 05 Jan 2026</t>
  </si>
  <si>
    <t>Life expectancy at birth - female </t>
  </si>
  <si>
    <t>Office for National Statistics, Health and life expectancies, Life expectancy at birth - female , Data updated: 05 Jan 2026</t>
  </si>
  <si>
    <t>Healthy life expectancy at birth - male </t>
  </si>
  <si>
    <t>19 Feb 2026</t>
  </si>
  <si>
    <t>Office for National Statistics, Health and life expectancies, Healthy life expectancy at birth - male , Data updated: 19 Feb 2026</t>
  </si>
  <si>
    <t>Healthy life expectancy at birth - female </t>
  </si>
  <si>
    <t>Office for National Statistics, Health and life expectancies, Healthy life expectancy at birth - female , Data updated: 19 Feb 2026</t>
  </si>
  <si>
    <t>People with a learning disability aged 18 and over supported during the year </t>
  </si>
  <si>
    <t>22 Nov 2024</t>
  </si>
  <si>
    <t>Department of Health and Social Care, Adult social care activity report, People with a learning disability aged 18 and over supported during the year , Data updated: 22 Nov 2024</t>
  </si>
  <si>
    <t>People with a learning disability aged 18-64 supported during the year </t>
  </si>
  <si>
    <t>Department of Health and Social Care, Adult social care activity report, People with a learning disability aged 18-64 supported during the year , Data updated: 22 Nov 2024</t>
  </si>
  <si>
    <t>Number of usual residents with a limiting long-term illness or disability </t>
  </si>
  <si>
    <t>03 Feb 2023</t>
  </si>
  <si>
    <t>Office for National Statistics, Census, Number of usual residents with a limiting long-term illness or disability , Data updated: 03 Feb 2023</t>
  </si>
  <si>
    <t>Percentage of usual residents with a limiting long-term illness or disability </t>
  </si>
  <si>
    <t>02 Apr 2024</t>
  </si>
  <si>
    <t>Office for National Statistics, Census, Percentage of usual residents with a limiting long-term illness or disability , Data updated: 02 Apr 2024</t>
  </si>
  <si>
    <t>Number of usual residents in bad or very bad health </t>
  </si>
  <si>
    <t>Office for National Statistics, Census, Number of usual residents in bad or very bad health , Data updated: 19 Jan 2023</t>
  </si>
  <si>
    <t>Proportion of usual residents in bad or very bad health </t>
  </si>
  <si>
    <t>Office for National Statistics, Census, Proportion of usual residents in bad or very bad health , Data updated: 02 Apr 2024</t>
  </si>
  <si>
    <t>Proportion of usual residents that provide 1 to 19 hours unpaid care a week </t>
  </si>
  <si>
    <t>Office for National Statistics, Census, Proportion of usual residents that provide 1 to 19 hours unpaid care a week , Data updated: 19 Jan 2023</t>
  </si>
  <si>
    <t>Proportion of usual residents that provide 20 to 49 hours unpaid care a week </t>
  </si>
  <si>
    <t>Office for National Statistics, Census, Proportion of usual residents that provide 20 to 49 hours unpaid care a week , Data updated: 19 Jan 2023</t>
  </si>
  <si>
    <t>Proportion of usual residents that provide 50 or more hours unpaid care a week </t>
  </si>
  <si>
    <t>Office for National Statistics, Census, Proportion of usual residents that provide 50 or more hours unpaid care a week , Data updated: 19 Jan 2023</t>
  </si>
  <si>
    <t>Care home beds </t>
  </si>
  <si>
    <t>05 Mar 2026</t>
  </si>
  <si>
    <t>Care Quality Commission (CQC), Care directory, Care home beds , Data updated: 05 Mar 2026</t>
  </si>
  <si>
    <t>Number of clients in long term support during the year aged 18 and over </t>
  </si>
  <si>
    <t>23 Oct 2025</t>
  </si>
  <si>
    <t>Department of Health and Social Care, Adult social care activity report, Number of clients in long term support during the year, aged 18 and over , Data updated: 23 Oct 2025</t>
  </si>
  <si>
    <t>Number of clients aged 18 to 64 accessing community care during the year and in receipt of direct payments </t>
  </si>
  <si>
    <t>Department of Health and Social Care, Adult social care activity report, Number of clients aged 18 to 64 accessing community care during the year and in receipt of direct payments , Data updated: 23 Oct 2025</t>
  </si>
  <si>
    <t>Number of clients aged 18 to 64 accessing community care during the year and in receipt of CASSR managed personal budget </t>
  </si>
  <si>
    <t>Department of Health and Social Care, Adult social care activity report, Number of clients aged 18 to 64 accessing community care during the year and in receipt of CASSR managed personal budget , Data updated: 23 Oct 2025</t>
  </si>
  <si>
    <t>Number of clients aged 18 to 64 accessing community care during the year and in receipt of CASSR commissioned support only </t>
  </si>
  <si>
    <t>Department of Health and Social Care, Adult social care activity report, Number of clients aged 18 to 64 accessing community care during the year and in receipt of CASSR commissioned support only , Data updated: 23 Oct 2025</t>
  </si>
  <si>
    <t>Number of clients aged 18 to 64 accessing community care during the year and in receipt of unknown services </t>
  </si>
  <si>
    <t>29 Oct 2025</t>
  </si>
  <si>
    <t>Department of Health and Social Care, Adult social care activity report, Number of clients aged 18 to 64 accessing community care during the year and in receipt of unknown services , Data updated: 29 Oct 2025</t>
  </si>
  <si>
    <t>Number of clients aged 65+ accessing community care during the year and in receipt of direct payments </t>
  </si>
  <si>
    <t>Department of Health and Social Care, Adult social care activity report, Number of clients aged 65+ accessing community care during the year and in receipt of direct payments , Data updated: 23 Oct 2025</t>
  </si>
  <si>
    <t>Number of clients aged 65+ accessing community care during the year and in receipt of CASSR managed personal budget </t>
  </si>
  <si>
    <t>Department of Health and Social Care, Adult social care activity report, Number of clients aged 65+ accessing community care during the year and in receipt of CASSR managed personal budget , Data updated: 23 Oct 2025</t>
  </si>
  <si>
    <t>Number of clients aged 65+ accessing community care during the year and in receipt of CASSR commissioned support only </t>
  </si>
  <si>
    <t>Department of Health and Social Care, Adult social care activity report, Number of clients aged 65+ accessing community care during the year and in receipt of CASSR commissioned support only , Data updated: 23 Oct 2025</t>
  </si>
  <si>
    <t>Number of clients aged 65 and above accessing community care during the year and in receipt of unknown services </t>
  </si>
  <si>
    <t>Department of Health and Social Care, Adult social care activity report, Number of clients aged 65 and above accessing community care during the year and in receipt of unknown services , Data updated: 29 Oct 2025</t>
  </si>
  <si>
    <t>Number of clients accessing long term support during the year aged 18 to 64 </t>
  </si>
  <si>
    <t>Department of Health and Social Care, Adult social care activity report, Number of clients accessing long term support during the year aged 18 to 64 , Data updated: 23 Oct 2025</t>
  </si>
  <si>
    <t>Number of clients accessing long term support during the year aged 65+ </t>
  </si>
  <si>
    <t>Department of Health and Social Care, Adult social care activity report, Number of clients accessing long term support during the year aged 65+ , Data updated: 23 Oct 2025</t>
  </si>
  <si>
    <t>ASCOF 1D - Overall satisfaction of people who use services with their care and support </t>
  </si>
  <si>
    <t>29 Jan 2026</t>
  </si>
  <si>
    <t>Department of Health and Social Care, Measures from the Adult Social Care Outcomes Framework, England, ASCOF 1D - Overall satisfaction of people who use services with their care and support , Data updated: 29 Jan 2026</t>
  </si>
  <si>
    <t>Gross Current Expenditure on adult social care </t>
  </si>
  <si>
    <t>Department of Health and Social Care, Adult social care activity report, Gross Current Expenditure on adult social care , Data updated: 23 Oct 2025</t>
  </si>
  <si>
    <t>Net Current Expenditure - Total Adult Social Care</t>
  </si>
  <si>
    <t>04 Dec 2025</t>
  </si>
  <si>
    <t>Ministry of Housing, Communities and Local Government, Revenue Outturn: Social Care and Public Health (RO3), Net Current Expenditure - TOTAL ADULT SOCIAL CARE , Data updated: 04 Dec 2025</t>
  </si>
  <si>
    <t>Net Revenue Expenditure</t>
  </si>
  <si>
    <t>Ministry of Housing, Communities and Local Government, Revenue Outturn Summary (RS), NET REVENUE EXPENDITURE (total of lines 800 to 804) (RS) , Data updated: 04 Dec 2025</t>
  </si>
  <si>
    <t>Gross Current Expenditure on long term care for clients aged 18 to 64 </t>
  </si>
  <si>
    <t>Department of Health and Social Care, Adult social care activity report, Gross Current Expenditure on long term care for clients aged 18 to 64 , Data updated: 23 Oct 2025</t>
  </si>
  <si>
    <t>Gross Current Expenditure on long term care for clients aged 65+ </t>
  </si>
  <si>
    <t>Department of Health and Social Care, Adult social care activity report, Gross Current Expenditure on long term care for clients aged 65+ , Data updated: 23 Oct 2025</t>
  </si>
  <si>
    <t>Gross Current Expenditure on long term care for all clients </t>
  </si>
  <si>
    <t>Department of Health and Social Care, Adult social care activity report, Gross Current Expenditure on long term care for all clients , Data updated: 23 Oct 2025</t>
  </si>
  <si>
    <t>Gross Current Expenditure on short term care for clients aged 18 to 64 </t>
  </si>
  <si>
    <t>Department of Health and Social Care, Adult social care activity report, Gross Current Expenditure on short term care for clients aged 18 to 64 , Data updated: 23 Oct 2025</t>
  </si>
  <si>
    <t>Total gross current expenditure on long and short term learning disability support - adults aged 18 to 64 </t>
  </si>
  <si>
    <t>Department of Health and Social Care, Adult social care activity report, Total gross current expenditure on long and short term learning disability support, adults aged 18 to 64 , Data updated: 23 Oct 2025</t>
  </si>
  <si>
    <t>Gross Current Expenditure on short term care for clients aged 65+ </t>
  </si>
  <si>
    <t>Department of Health and Social Care, Adult social care activity report, Gross Current Expenditure on short term care for clients aged 65+ , Data updated: 23 Oct 2025</t>
  </si>
  <si>
    <t>Gross total expenditure on all social care with physical support for adults aged 65+ </t>
  </si>
  <si>
    <t>Department of Health and Social Care, Adult social care activity report, Gross total expenditure on all social care with physical support for adults aged 65+ , Data updated: 23 Oct 2025</t>
  </si>
  <si>
    <t>Gross Current Expenditure on short term care for all clients </t>
  </si>
  <si>
    <t>Department of Health and Social Care, Adult social care activity report, Gross Current Expenditure on short term care for all clients , Data updated: 23 Oct 2025</t>
  </si>
  <si>
    <t>Gross Current Expenditure on long and short term care </t>
  </si>
  <si>
    <t>Department of Health and Social Care, Adult social care activity report, Gross Current Expenditure on long and short term care , Data updated: 23 Oct 2025</t>
  </si>
  <si>
    <t>Gross current expenditure on long and short term care for adults aged 18 to 64 per long term care client aged 18 to 64 </t>
  </si>
  <si>
    <t>Department of Health and Social Care, Adult social care activity report, Gross current expenditure on long and short term care for adults aged 18 to 64, per long term care client aged 18 to 64 , Data updated: 23 Oct 2025</t>
  </si>
  <si>
    <t>Gross current expenditure on long and short term care for adults aged 65 and over per long term care client aged 65 and over </t>
  </si>
  <si>
    <t>Department of Health and Social Care, Adult social care activity report, Gross current expenditure on long and short term care for adults aged 65 and over, per long term care client aged 65 and over , Data updated: 23 Oct 2025</t>
  </si>
  <si>
    <t>Gross current expenditure on long and short term care for adults aged 18 to 64 per adult aged 18 to 64 </t>
  </si>
  <si>
    <t>Department of Health and Social Care, Adult social care activity report, Gross current expenditure on long and short term care for adults aged 18 to 64, per adult aged 18 to 64 , Data updated: 26 Feb 2026</t>
  </si>
  <si>
    <t>Gross current expenditure on long and short term care for adults aged 65 and over per adult aged 65 and over </t>
  </si>
  <si>
    <t>Department of Health and Social Care, Adult social care activity report, Gross current expenditure on long and short term care for adults aged 65 and over, per adult aged 65 and over , Data updated: 26 Feb 2026</t>
  </si>
  <si>
    <t>Adult social care income from client contributions </t>
  </si>
  <si>
    <t>Department of Health and Social Care, Adult social care activity report, Adult social care income from client contributions , Data updated: 23 Oct 2025</t>
  </si>
  <si>
    <t>Adult social care income from joint arrangements </t>
  </si>
  <si>
    <t>Department of Health and Social Care, Adult social care activity report, Adult social care income from joint arrangements , Data updated: 23 Oct 2025</t>
  </si>
  <si>
    <t>Income from the NHS Better Care Fund </t>
  </si>
  <si>
    <t>Department of Health and Social Care, Adult social care activity report, Income from the NHS Better Care Fund , Data updated: 23 Oct 2025</t>
  </si>
  <si>
    <t>Adult social care income from NHS </t>
  </si>
  <si>
    <t>Department of Health and Social Care, Adult social care activity report, Adult social care income from NHS , Data updated: 23 Oct 2025</t>
  </si>
  <si>
    <t>Adult social care income from other sources </t>
  </si>
  <si>
    <t>Department of Health and Social Care, Adult social care activity report, Adult social care income from other sources , Data updated: 23 Oct 2025</t>
  </si>
  <si>
    <t>Total number adult social care (ASC) employees - all sectors and services </t>
  </si>
  <si>
    <t>19 Dec 2025</t>
  </si>
  <si>
    <t>Skills for Care, Adult social care workforce estimates, Total number adult social care (ASC) employees, all sectors, all services , Data updated: 19 Dec 2025</t>
  </si>
  <si>
    <t>Total number of adult social care (ASC) filled posts in the independent and local authority sectors </t>
  </si>
  <si>
    <t>Skills for Care, Adult social care workforce estimates, Total number of adult social care (ASC) filled posts in the independent and local authority sectors , Data updated: 19 Dec 2025</t>
  </si>
  <si>
    <t>Total number adult social care (ASC) vacancies - all sectors and services </t>
  </si>
  <si>
    <t>Skills for Care, Adult social care workforce estimates, Total number adult social care (ASC) vacancies, all sectors, all services , Data updated: 19 Dec 2025</t>
  </si>
  <si>
    <t>Total number of adult social care (ASC) filled posts in the independent sector </t>
  </si>
  <si>
    <t>Skills for Care, Adult social care workforce estimates, Total number of adult social care (ASC) filled posts in the independent sector , Data updated: 19 Dec 2025</t>
  </si>
  <si>
    <t>Total number of adult social care (ASC) filled posts in the local authority sector </t>
  </si>
  <si>
    <t>Skills for Care, Adult social care workforce estimates, Total number of adult social care (ASC) filled posts in the local authority sector , Data updated: 19 Dec 2025</t>
  </si>
  <si>
    <t>Percentage of the ASC workforce who are female - all sectors </t>
  </si>
  <si>
    <t>Skills for Care, Adult social care workforce estimates, Percentage of the ASC workforce who are female, all sectors , Data updated: 19 Dec 2025</t>
  </si>
  <si>
    <t>Percentage of adult social care (ASC) workforce whose nationality is EU (non-British) </t>
  </si>
  <si>
    <t>Skills for Care, Adult social care workforce estimates, Percentage of adult social care (ASC) workforce whose nationality is EU (non-British) , Data updated: 19 Dec 2025</t>
  </si>
  <si>
    <t>Percentage of adult social care (ASC) workforce whose nationality is Non EU </t>
  </si>
  <si>
    <t>Skills for Care, Adult social care workforce estimates, Percentage of adult social care (ASC) workforce whose nationality is Non EU , Data updated: 19 Dec 2025</t>
  </si>
  <si>
    <t>Percentage of adult social care (ASC) jobs that are part time - all sectors </t>
  </si>
  <si>
    <t>Skills for Care, Adult social care workforce estimates, Percentage of adult social care (ASC) jobs that are part time, all sectors , Data updated: 19 Dec 2025</t>
  </si>
  <si>
    <t>Average age of the adult social care (ASC) workforce </t>
  </si>
  <si>
    <t>Skills for Care, Adult social care workforce estimates, Average age of the adult social care (ASC) workforce , Data updated: 19 Dec 2025</t>
  </si>
  <si>
    <t>Percentage of the ASC workforce that are from a White ethnic group - all sectors </t>
  </si>
  <si>
    <t>Skills for Care, Adult social care workforce estimates, Percentage of the ASC workforce that are from a White ethnic group, all sectors , Data updated: 19 Dec 2025</t>
  </si>
  <si>
    <t>Total number of adult social care (ASC) filled posts in direct care </t>
  </si>
  <si>
    <t>Skills for Care, Adult social care workforce estimates, Total number of adult social care (ASC) filled posts in direct care , Data updated: 19 Dec 2025</t>
  </si>
  <si>
    <t>Total number of adult social care (ASC) filled posts in managerial roles </t>
  </si>
  <si>
    <t>Skills for Care, Adult social care workforce estimates, Total number of adult social care (ASC) filled posts in managerial roles , Data updated: 19 Dec 2025</t>
  </si>
  <si>
    <t>Total number of adult social care (ASC) filled posts in regulated professional roles </t>
  </si>
  <si>
    <t>Skills for Care, Adult social care workforce estimates, Total number of adult social care (ASC) filled posts in regulated professional roles , Data updated: 19 Dec 2025</t>
  </si>
  <si>
    <t>Total number of adult social care (ASC) filled posts in other roles </t>
  </si>
  <si>
    <t>Skills for Care, Adult social care workforce estimates, Total number of adult social care (ASC) filled posts in other roles , Data updated: 19 Dec 2025</t>
  </si>
  <si>
    <t>ASCOF 1A - Quality of life for people who use services (social care-related quality of life score (out of 24) </t>
  </si>
  <si>
    <t>28 Jan 2026</t>
  </si>
  <si>
    <t>Department of Health and Social Care, Measures from the Adult Social Care Outcomes Framework, England, ASCOF 1A - Quality of life for people who use services (social care-related quality of life score (out of 24) , Data updated: 28 Jan 2026</t>
  </si>
  <si>
    <t>Quality of life for people aged 18 to 64 who use services (social care-related quality of life score (out of 24) </t>
  </si>
  <si>
    <t>Department of Health and Social Care, Measures from the Adult Social Care Outcomes Framework, England, Quality of life for people aged 18 to 64 who use services (social care-related quality of life score (out of 24) , Data updated: 28 Jan 2026</t>
  </si>
  <si>
    <t>Quality of life for people aged 65 and over who use services (social care-related quality of life score (out of 24) </t>
  </si>
  <si>
    <t>Department of Health and Social Care, Measures from the Adult Social Care Outcomes Framework, England, Quality of life for people aged 65 and over who use services (social care-related quality of life score (out of 24) , Data updated: 29 Jan 2026</t>
  </si>
  <si>
    <t>ASCOF 3A - Proportion of people who use services who report having control over their daily life </t>
  </si>
  <si>
    <t>Department of Health and Social Care, Measures from the Adult Social Care Outcomes Framework, England, ASCOF 3A - Proportion of people who use services who report having control over their daily life , Data updated: 28 Jan 2026</t>
  </si>
  <si>
    <t>Proportion of people aged 65 and over who use services who report having control over their daily life </t>
  </si>
  <si>
    <t>Department of Health and Social Care, Measures from the Adult Social Care Outcomes Framework, England, Proportion of people aged 65 and over who use services who report having control over their daily life , Data updated: 29 Jan 2026</t>
  </si>
  <si>
    <t>ASCOF 1C - Quality of life of carers (score out of 12) </t>
  </si>
  <si>
    <t>19 Dec 2024</t>
  </si>
  <si>
    <t>Department of Health and Social Care, Measures from the Adult Social Care Outcomes Framework, England, ASCOF 1C - Quality of life of carers (score out of 12) , Data updated: 19 Dec 2024</t>
  </si>
  <si>
    <t>Quality of life of carers aged 65 and over (score out of 12) </t>
  </si>
  <si>
    <t>Department of Health and Social Care, Measures from the Adult Social Care Outcomes Framework, England, Quality of life of carers aged 65 and over (score out of 12) , Data updated: 19 Dec 2024</t>
  </si>
  <si>
    <t>ASCOF 4A - Proportion of people who use services who feel safe </t>
  </si>
  <si>
    <t>Department of Health and Social Care, Measures from the Adult Social Care Outcomes Framework, England, ASCOF 4A - Proportion of people who use services who feel safe , Data updated: 29 Jan 2026</t>
  </si>
  <si>
    <t>Proportion of people aged 65 and over who use services who feel safe </t>
  </si>
  <si>
    <t>Department of Health and Social Care, Measures from the Adult Social Care Outcomes Framework, England, Proportion of people aged 65 and over who use services who feel safe , Data updated: 29 Jan 2026</t>
  </si>
  <si>
    <t>ASCOF 6B - Proportion of residential adult social care providers rated good or outstanding by the Care Quality Commission </t>
  </si>
  <si>
    <t>Department of Health and Social Care, Measures from the Adult Social Care Outcomes Framework, England, ASCOF 6B - Proportion of residential adult social care providers rated good or outstanding by the Care Quality Commission , Data updated: 28 Jan 2026</t>
  </si>
  <si>
    <t>Number of carers either supported or assessed by the local authority during the year </t>
  </si>
  <si>
    <t>Department of Health and Social Care, Adult social care activity report, Number of carers either supported or assessed by the local authority during the year , Data updated: 22 Nov 2024</t>
  </si>
  <si>
    <t>Quote</t>
  </si>
  <si>
    <t>Source</t>
  </si>
  <si>
    <t>Additionally, the default infographic contains two figures that are not drawn from LG Inform:</t>
  </si>
  <si>
    <t>Latest social care sector and workforce data published</t>
  </si>
  <si>
    <t>"Adult social care contributed an estimated £77.8 billion to the economy in England in 2024/25"</t>
  </si>
  <si>
    <t>"Unpaid carer support is estimated to be worth £152 billion per year in England"</t>
  </si>
  <si>
    <t>Rising numbers of unpaid carers say they need more support from the NHS | Carers UK</t>
  </si>
  <si>
    <t>Carers UK</t>
  </si>
  <si>
    <t>For a full list, including two figures that are not drawn from LG Inform, see the "Sources" tab</t>
  </si>
  <si>
    <t>WORKBOOK AUDIT &amp; REVAMP PLAN</t>
  </si>
  <si>
    <t>Adult Social Care Infographic Toolkit | Audit snapshot: 3 September 2026</t>
  </si>
  <si>
    <t>EXECUTIVE SUMMARY</t>
  </si>
  <si>
    <t>The workbook has a sound high-level separation between user output, processing, source data and calculations. The selected Norfolk output currently calculates without visible formula errors; however, the shared calculation engine contains failures for other authorities. Reliability and quality assurance should therefore be completed before redesigning the infographic. No workbook changes were made during the audit itself.</t>
  </si>
  <si>
    <t>AUDIT SNAPSHOT</t>
  </si>
  <si>
    <t>Result</t>
  </si>
  <si>
    <t>Scope / Location</t>
  </si>
  <si>
    <t>Status</t>
  </si>
  <si>
    <t>Why it matters</t>
  </si>
  <si>
    <t>Reference</t>
  </si>
  <si>
    <t>Workbook structure</t>
  </si>
  <si>
    <t>14 sheets</t>
  </si>
  <si>
    <t>Entire workbook</t>
  </si>
  <si>
    <t>Established</t>
  </si>
  <si>
    <t>Clear separation exists, but navigation can be simplified.</t>
  </si>
  <si>
    <t>Workbook tabs</t>
  </si>
  <si>
    <t>Source coverage</t>
  </si>
  <si>
    <t>168 populated rows / 164 area labels</t>
  </si>
  <si>
    <t>Datasheet!A1:CL169</t>
  </si>
  <si>
    <t>Review</t>
  </si>
  <si>
    <t>The area selector and model cover local authorities, regions and England.</t>
  </si>
  <si>
    <t>Datasheet!A7:A160</t>
  </si>
  <si>
    <t>Calculation engine</t>
  </si>
  <si>
    <t>6,031 formulas</t>
  </si>
  <si>
    <t>Calculations!A1:AN169</t>
  </si>
  <si>
    <t>High risk</t>
  </si>
  <si>
    <t>A central formula layer supports all selectable authorities.</t>
  </si>
  <si>
    <t>Calculation failures</t>
  </si>
  <si>
    <t>26 error cells</t>
  </si>
  <si>
    <t>Critical</t>
  </si>
  <si>
    <t>Other authorities can return #VALUE! or #DIV/0! results.</t>
  </si>
  <si>
    <t>Calculations</t>
  </si>
  <si>
    <t>Output objects</t>
  </si>
  <si>
    <t>8 charts / 148 shapes</t>
  </si>
  <si>
    <t>Output!A1:S100</t>
  </si>
  <si>
    <t>The infographic is highly object-driven and requires consistent naming and accessibility.</t>
  </si>
  <si>
    <t>Output</t>
  </si>
  <si>
    <t>Norfolk output</t>
  </si>
  <si>
    <t>No visible formula errors</t>
  </si>
  <si>
    <t>Need; Care Users; Finance; Workforce; Outcomes</t>
  </si>
  <si>
    <t>Current pass</t>
  </si>
  <si>
    <t>The selected authority works, but this does not validate every selectable area.</t>
  </si>
  <si>
    <t>Title Page!C4</t>
  </si>
  <si>
    <t>PRIORITISED FINDINGS</t>
  </si>
  <si>
    <t>Priority</t>
  </si>
  <si>
    <t>Finding</t>
  </si>
  <si>
    <t>Evidence</t>
  </si>
  <si>
    <t>Recommended action</t>
  </si>
  <si>
    <t>Phase</t>
  </si>
  <si>
    <t>Reliability</t>
  </si>
  <si>
    <t>The shared calculation layer contains 26 errors for several authorities.</t>
  </si>
  <si>
    <t>Examples include Birmingham, City of London, Cumberland, Hackney, Isles of Scilly, Slough, Westmorland and Furness, and several ADASS regions.</t>
  </si>
  <si>
    <t>Handle missing text values and zero denominators explicitly, while preserving genuine missing-data signals.</t>
  </si>
  <si>
    <t>High</t>
  </si>
  <si>
    <t>Data structure</t>
  </si>
  <si>
    <t>Neither the source range nor the calculation range is an Excel Table.</t>
  </si>
  <si>
    <t>Datasheet!A1:CL169 and Calculations!A1:AN169 are fixed ranges.</t>
  </si>
  <si>
    <t>Convert the two model ranges into structured Tables and update dependent formulas and validation.</t>
  </si>
  <si>
    <t>1–2</t>
  </si>
  <si>
    <t>Accessibility</t>
  </si>
  <si>
    <t>All 148 objects on Output lack alternative text and titles.</t>
  </si>
  <si>
    <t>Output contains charts, icons, logos and decorative images with no accessibility metadata.</t>
  </si>
  <si>
    <t>Add meaningful alternative text to informative objects and identify purely decorative objects consistently.</t>
  </si>
  <si>
    <t>Charts</t>
  </si>
  <si>
    <t>Chart presentation and naming are inconsistent.</t>
  </si>
  <si>
    <t>Five of eight charts lack titles; two stacked bars are only about 58 points tall; the name Chart 33 is duplicated.</t>
  </si>
  <si>
    <t>Rename charts by purpose, add useful titles, standardise legends and number formats, and resize undersized visuals.</t>
  </si>
  <si>
    <t>Medium</t>
  </si>
  <si>
    <t>Area selector</t>
  </si>
  <si>
    <t>The council dropdown uses a fixed source range.</t>
  </si>
  <si>
    <t>Title Page!C4 is validated against Datasheet!A7:A160.</t>
  </si>
  <si>
    <t>Bind validation to a dynamic Table column or maintained named range so new areas are included automatically.</t>
  </si>
  <si>
    <t>Percentages</t>
  </si>
  <si>
    <t>Percentage values are represented inconsistently.</t>
  </si>
  <si>
    <t>Calculations!W90 stores 3.78 with format 0.00, while Calculations!AE90 stores 0.0689 with format 0.00%.</t>
  </si>
  <si>
    <t>Store all ratios as decimals and apply percentage number formats consistently.</t>
  </si>
  <si>
    <t>Compatibility</t>
  </si>
  <si>
    <t>The model relies on newer functions and retains broken compatibility names.</t>
  </si>
  <si>
    <t>82 XLOOKUP formulas, three LET formulas and six error-type legacy names were identified.</t>
  </si>
  <si>
    <t>Confirm the minimum supported Excel version, test compatibility and remove obsolete names after validation.</t>
  </si>
  <si>
    <t>Low</t>
  </si>
  <si>
    <t>Navigation &amp; governance</t>
  </si>
  <si>
    <t>Visible separator tabs and update records need refinement.</t>
  </si>
  <si>
    <t>PROCESSING -&gt; and DATA -&gt; are empty; Title Page and Version History were last updated in March 2026.</t>
  </si>
  <si>
    <t>Simplify tab order, hide technical sheets where appropriate, refresh instructions, sources and version history.</t>
  </si>
  <si>
    <t>PHASED IMPLEMENTATION PLAN</t>
  </si>
  <si>
    <t>Objective</t>
  </si>
  <si>
    <t>Key actions</t>
  </si>
  <si>
    <t>Primary sheets</t>
  </si>
  <si>
    <t>Completion test</t>
  </si>
  <si>
    <t>Reliability and QA</t>
  </si>
  <si>
    <t>Correct all 26 errors; standardise percentage storage; create dynamic area validation; add checks for missing inputs, duplicate areas, zero denominators and formula errors.</t>
  </si>
  <si>
    <t>Datasheet; Calculations; Title Page; new Checks sheet</t>
  </si>
  <si>
    <t>Every selectable area returns intentional values or clearly labelled unavailable data, with no unhandled spreadsheet errors.</t>
  </si>
  <si>
    <t>First</t>
  </si>
  <si>
    <t>Model streamlining</t>
  </si>
  <si>
    <t>Convert source and calculation ranges to Tables; replace whole-column lookups with structured references; consolidate duplicated presentation formulas; remove obsolete names after testing.</t>
  </si>
  <si>
    <t>Datasheet; Calculations; five processing sheets</t>
  </si>
  <si>
    <t>Formula dependencies remain live, ranges expand automatically and recalculation behaviour is unchanged or improved.</t>
  </si>
  <si>
    <t>Second</t>
  </si>
  <si>
    <t>Output redesign</t>
  </si>
  <si>
    <t>Rebuild the five printable sections with consistent spacing, typography, colours and chart formatting; rename charts; improve accessibility and print behaviour.</t>
  </si>
  <si>
    <t>Output; Colour Scheme</t>
  </si>
  <si>
    <t>All pages print consistently, objects do not overlap, charts are legible and meaningful objects have alternative text.</t>
  </si>
  <si>
    <t>Third</t>
  </si>
  <si>
    <t>Governance and usability</t>
  </si>
  <si>
    <t>Refresh guidance and change history; add source period and refresh metadata; simplify navigation; protect formulas while keeping the selector editable.</t>
  </si>
  <si>
    <t>Title Page; Version History; Sources; workbook tabs</t>
  </si>
  <si>
    <t>A new user can select an area, understand provenance, print the output and avoid editing protected model logic.</t>
  </si>
  <si>
    <t>Fourth</t>
  </si>
  <si>
    <t>RECOMMENDED IMPLEMENTATION ORDER</t>
  </si>
  <si>
    <t>Stabilise</t>
  </si>
  <si>
    <t>Complete Phase 1 before making visual changes.</t>
  </si>
  <si>
    <t>This prevents redesign work from concealing model failures.</t>
  </si>
  <si>
    <t>Deliverable: clean calculation and QA baseline.</t>
  </si>
  <si>
    <t>Required</t>
  </si>
  <si>
    <t>Refactor</t>
  </si>
  <si>
    <t>Complete Phase 2 using regression checks against Norfolk and a selection of other authority types.</t>
  </si>
  <si>
    <t>Include unitary, county, London borough, small-area and regional records.</t>
  </si>
  <si>
    <t>Deliverable: maintainable expandable model.</t>
  </si>
  <si>
    <t>Redesign</t>
  </si>
  <si>
    <t>Apply Phase 3 only after the model passes the checks.</t>
  </si>
  <si>
    <t>Preserve the five-page printable purpose while simplifying the visual hierarchy.</t>
  </si>
  <si>
    <t>Deliverable: accessible professional infographic.</t>
  </si>
  <si>
    <t>Recommended</t>
  </si>
  <si>
    <t>Publish</t>
  </si>
  <si>
    <t>Complete governance, protection and user guidance last.</t>
  </si>
  <si>
    <t>Record every material change in Version History.</t>
  </si>
  <si>
    <t>Deliverable: controlled release-ready toolkit.</t>
  </si>
  <si>
    <t>VERIFICATION EVIDENCE</t>
  </si>
  <si>
    <t>Check</t>
  </si>
  <si>
    <t>Observed result</t>
  </si>
  <si>
    <t>Coverage</t>
  </si>
  <si>
    <t>Interpretation</t>
  </si>
  <si>
    <t>Follow-up</t>
  </si>
  <si>
    <t>Area coverage</t>
  </si>
  <si>
    <t>168 populated data rows; 164 distinct labels</t>
  </si>
  <si>
    <t>Datasheet</t>
  </si>
  <si>
    <t>Source includes local authority and aggregate area records.</t>
  </si>
  <si>
    <t>Check duplicates and intentional repeated labels during Table conversion.</t>
  </si>
  <si>
    <t>Observed</t>
  </si>
  <si>
    <t>Formula coverage</t>
  </si>
  <si>
    <t>The workbook is calculation-heavy and requires regression testing.</t>
  </si>
  <si>
    <t>Add automated QA indicators before refactoring.</t>
  </si>
  <si>
    <t>Errors</t>
  </si>
  <si>
    <t>26 formula errors</t>
  </si>
  <si>
    <t>Failures are concentrated in missing/non-numeric inputs and zero denominators.</t>
  </si>
  <si>
    <t>Resolve individually rather than blanket-wrapping every formula with IFERROR.</t>
  </si>
  <si>
    <t>Action needed</t>
  </si>
  <si>
    <t>8 charts</t>
  </si>
  <si>
    <t>Titles, dimensions, names and accessibility are inconsistent.</t>
  </si>
  <si>
    <t>Apply a chart-by-chart design and number-format audit.</t>
  </si>
  <si>
    <t>Selected area</t>
  </si>
  <si>
    <t>Norfolk output has no visible formula errors</t>
  </si>
  <si>
    <t>All five processing sheets and Output</t>
  </si>
  <si>
    <t>Norfolk is a useful baseline but not sufficient for whole-model assurance.</t>
  </si>
  <si>
    <t>Regression-test a representative set of areas.</t>
  </si>
  <si>
    <t>HOW TO USE THIS AUDIT: Begin with Phase 1. After each phase, update Version History and re-run the verification checks before proceeding. The audit is a dated snapshot; refresh it whenever source data, calculations, supported Excel versions or the infographic design change.</t>
  </si>
  <si>
    <t>Life expectancy at birth (3-year) - male</t>
  </si>
  <si>
    <t>Life expectancy at birth (3-year) - female</t>
  </si>
  <si>
    <t>Healthy life expectancy at birth (3-year) - male</t>
  </si>
  <si>
    <t>Healthy life expectancy at birth (3-year) - female</t>
  </si>
  <si>
    <t>2025/26</t>
  </si>
  <si>
    <t>cal_2015</t>
  </si>
  <si>
    <t>cal_2025</t>
  </si>
  <si>
    <t>Month_2025_August</t>
  </si>
  <si>
    <t>Month_2026_August</t>
  </si>
  <si>
    <t>fin_2025_26</t>
  </si>
  <si>
    <t>GBP (000s)</t>
  </si>
  <si>
    <t>Mid-year population estimates</t>
  </si>
  <si>
    <t>Care directory data</t>
  </si>
  <si>
    <t>Revenue outturn RO3 (2024/25)</t>
  </si>
  <si>
    <t>Revenue outturn summary RS (2024/25)</t>
  </si>
  <si>
    <t>Adult social care activity report (2024/25)</t>
  </si>
  <si>
    <t>State of the sector report 2025</t>
  </si>
  <si>
    <t>Adult Social Care Outcomes Framework (2024/25)</t>
  </si>
  <si>
    <t>Valuing Carers 2021/22</t>
  </si>
  <si>
    <t>Source: ONS</t>
  </si>
  <si>
    <t>Source: Skills for Care</t>
  </si>
  <si>
    <t>Source: DHSC</t>
  </si>
  <si>
    <t>Source: MHCLG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</si>
</sst>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_-* #,##0_-;\-* #,##0_-;_-* &quot;-&quot;??_-;_-@_-"/>
    <numFmt numFmtId="167" formatCode="&quot;£&quot;#,##0"/>
    <numFmt numFmtId="168" formatCode="0.000"/>
    <numFmt numFmtId="169" formatCode="0.000000"/>
  </numFmts>
  <fonts count="56">
    <font>
      <sz val="11"/>
      <color theme="1"/>
      <name val="Aptos Narrow"/>
      <family val="2"/>
      <scheme val="minor"/>
    </font>
    <font>
      <sz val="11"/>
      <color theme="1"/>
      <name val="Aptos Narrow"/>
      <family val="2"/>
      <scheme val="minor"/>
    </font>
    <font>
      <sz val="8"/>
      <name val="Aptos Narrow"/>
      <family val="2"/>
      <scheme val="minor"/>
    </font>
    <font>
      <sz val="11"/>
      <color theme="1"/>
      <name val="Arial"/>
      <family val="2"/>
    </font>
    <font>
      <b/>
      <u/>
      <sz val="26"/>
      <color rgb="FF941C82"/>
      <name val="Arial"/>
      <family val="2"/>
    </font>
    <font>
      <sz val="12"/>
      <color theme="0"/>
      <name val="Arial"/>
      <family val="2"/>
    </font>
    <font>
      <sz val="12"/>
      <color rgb="FF008591"/>
      <name val="Arial"/>
      <family val="2"/>
    </font>
    <font>
      <sz val="11"/>
      <color rgb="FF008591"/>
      <name val="Arial"/>
      <family val="2"/>
    </font>
    <font>
      <b/>
      <sz val="11"/>
      <color theme="1"/>
      <name val="Arial"/>
      <family val="2"/>
    </font>
    <font>
      <sz val="18"/>
      <color rgb="FF008591"/>
      <name val="Arial"/>
      <family val="2"/>
    </font>
    <font>
      <sz val="48"/>
      <color rgb="FF008591"/>
      <name val="Arial"/>
      <family val="2"/>
    </font>
    <font>
      <b/>
      <u/>
      <sz val="28"/>
      <color rgb="FF941C82"/>
      <name val="Arial"/>
      <family val="2"/>
    </font>
    <font>
      <b/>
      <u/>
      <sz val="11"/>
      <color theme="1"/>
      <name val="Arial"/>
      <family val="2"/>
    </font>
    <font>
      <sz val="28"/>
      <color rgb="FF008591"/>
      <name val="Arial"/>
      <family val="2"/>
    </font>
    <font>
      <sz val="11"/>
      <color rgb="FF94C21F"/>
      <name val="Arial"/>
      <family val="2"/>
    </font>
    <font>
      <sz val="28"/>
      <color rgb="FFAB4A99"/>
      <name val="Arial"/>
      <family val="2"/>
    </font>
    <font>
      <sz val="28"/>
      <color rgb="FF6E0036"/>
      <name val="Arial"/>
      <family val="2"/>
    </font>
    <font>
      <sz val="28"/>
      <color rgb="FFFF7A26"/>
      <name val="Arial"/>
      <family val="2"/>
    </font>
    <font>
      <sz val="28"/>
      <color rgb="FF94C21F"/>
      <name val="Arial"/>
      <family val="2"/>
    </font>
    <font>
      <sz val="12"/>
      <color theme="1"/>
      <name val="Arial"/>
      <family val="2"/>
    </font>
    <font>
      <sz val="11"/>
      <color rgb="FF92D050"/>
      <name val="Arial"/>
      <family val="2"/>
    </font>
    <font>
      <b/>
      <sz val="14"/>
      <color rgb="FFFF7A26"/>
      <name val="Arial"/>
      <family val="2"/>
    </font>
    <font>
      <b/>
      <sz val="14"/>
      <color rgb="FF94C21F"/>
      <name val="Arial"/>
      <family val="2"/>
    </font>
    <font>
      <sz val="16"/>
      <color rgb="FF008591"/>
      <name val="Arial"/>
      <family val="2"/>
    </font>
    <font>
      <sz val="10"/>
      <color rgb="FF2E2659"/>
      <name val="Arial"/>
      <family val="2"/>
    </font>
    <font>
      <b/>
      <sz val="28"/>
      <color theme="1"/>
      <name val="Arial"/>
      <family val="2"/>
    </font>
    <font>
      <b/>
      <sz val="28"/>
      <name val="Arial"/>
      <family val="2"/>
    </font>
    <font>
      <b/>
      <sz val="20"/>
      <color rgb="FFFF7A26"/>
      <name val="Arial"/>
      <family val="2"/>
    </font>
    <font>
      <b/>
      <sz val="20"/>
      <color rgb="FF94C21F"/>
      <name val="Arial"/>
      <family val="2"/>
    </font>
    <font>
      <sz val="11"/>
      <color rgb="FFFF7A26"/>
      <name val="Arial"/>
      <family val="2"/>
    </font>
    <font>
      <b/>
      <sz val="14"/>
      <color rgb="FF941C82"/>
      <name val="Arial"/>
      <family val="2"/>
    </font>
    <font>
      <sz val="11"/>
      <color rgb="FF941C82"/>
      <name val="Arial"/>
      <family val="2"/>
    </font>
    <font>
      <sz val="26"/>
      <color rgb="FF008591"/>
      <name val="Arial"/>
      <family val="2"/>
    </font>
    <font>
      <sz val="10"/>
      <color rgb="FF008591"/>
      <name val="Arial"/>
      <family val="2"/>
    </font>
    <font>
      <sz val="14"/>
      <color rgb="FF008591"/>
      <name val="Arial"/>
      <family val="2"/>
    </font>
    <font>
      <sz val="14"/>
      <color theme="1"/>
      <name val="Arial"/>
      <family val="2"/>
    </font>
    <font>
      <u/>
      <sz val="11"/>
      <color theme="10"/>
      <name val="Aptos Narrow"/>
      <family val="2"/>
      <scheme val="minor"/>
    </font>
    <font>
      <u/>
      <sz val="11"/>
      <color theme="10"/>
      <name val="Arial"/>
      <family val="2"/>
    </font>
    <font>
      <b/>
      <sz val="24"/>
      <color rgb="FF7030A0"/>
      <name val="Arial"/>
      <family val="2"/>
    </font>
    <font>
      <b/>
      <sz val="10"/>
      <color theme="1"/>
      <name val="Arial"/>
      <family val="2"/>
    </font>
    <font>
      <sz val="10"/>
      <color theme="1"/>
      <name val="Arial"/>
      <family val="2"/>
    </font>
    <font>
      <i/>
      <sz val="11"/>
      <color theme="1"/>
      <name val="Arial"/>
      <family val="2"/>
    </font>
    <font>
      <b/>
      <sz val="10"/>
      <color rgb="FF212529"/>
      <name val="Arial"/>
      <family val="2"/>
    </font>
    <font>
      <u/>
      <sz val="10"/>
      <color theme="10"/>
      <name val="Arial"/>
      <family val="2"/>
    </font>
    <font>
      <b/>
      <sz val="18"/>
      <color rgb="FFFFFFFF"/>
      <name val="Aptos"/>
    </font>
    <font>
      <i/>
      <sz val="10"/>
      <color rgb="FF666666"/>
      <name val="Aptos"/>
    </font>
    <font>
      <sz val="11"/>
      <color theme="1"/>
      <name val="Aptos"/>
    </font>
    <font>
      <b/>
      <sz val="12"/>
      <color rgb="FFFFFFFF"/>
      <name val="Aptos"/>
    </font>
    <font>
      <b/>
      <sz val="11"/>
      <color rgb="FFFFFFFF"/>
      <name val="Aptos"/>
    </font>
    <font>
      <b/>
      <sz val="11"/>
      <color rgb="FFC00000"/>
      <name val="Aptos"/>
    </font>
    <font>
      <b/>
      <sz val="11"/>
      <color rgb="FFC55A11"/>
      <name val="Aptos"/>
    </font>
    <font>
      <b/>
      <sz val="11"/>
      <color rgb="FF548235"/>
      <name val="Aptos"/>
    </font>
    <font>
      <b/>
      <sz val="11"/>
      <color theme="1"/>
      <name val="Aptos"/>
    </font>
    <font>
      <u/>
      <sz val="10"/>
      <color rgb="FF0563C1"/>
      <name val="Arial"/>
      <family val="2"/>
    </font>
    <font>
      <b/>
      <sz val="10"/>
      <name val="Arial"/>
      <family val="2"/>
    </font>
    <font>
      <i/>
      <sz val="8"/>
      <color theme="1"/>
      <name val="Arial"/>
      <family val="2"/>
    </font>
  </fonts>
  <fills count="39">
    <fill>
      <patternFill patternType="none"/>
    </fill>
    <fill>
      <patternFill patternType="gray125"/>
    </fill>
    <fill>
      <patternFill patternType="solid">
        <fgColor rgb="FFFFFF00"/>
        <bgColor indexed="64"/>
      </patternFill>
    </fill>
    <fill>
      <patternFill patternType="solid">
        <fgColor rgb="FFBF5712"/>
        <bgColor indexed="64"/>
      </patternFill>
    </fill>
    <fill>
      <patternFill patternType="solid">
        <fgColor rgb="FF701461"/>
        <bgColor indexed="64"/>
      </patternFill>
    </fill>
    <fill>
      <patternFill patternType="solid">
        <fgColor rgb="FF709117"/>
        <bgColor indexed="64"/>
      </patternFill>
    </fill>
    <fill>
      <patternFill patternType="solid">
        <fgColor rgb="FFFF7A26"/>
        <bgColor indexed="64"/>
      </patternFill>
    </fill>
    <fill>
      <patternFill patternType="solid">
        <fgColor rgb="FF941C82"/>
        <bgColor indexed="64"/>
      </patternFill>
    </fill>
    <fill>
      <patternFill patternType="solid">
        <fgColor rgb="FF94C21F"/>
        <bgColor indexed="64"/>
      </patternFill>
    </fill>
    <fill>
      <patternFill patternType="solid">
        <fgColor rgb="FFFF8F47"/>
        <bgColor indexed="64"/>
      </patternFill>
    </fill>
    <fill>
      <patternFill patternType="solid">
        <fgColor rgb="FFAB4A99"/>
        <bgColor indexed="64"/>
      </patternFill>
    </fill>
    <fill>
      <patternFill patternType="solid">
        <fgColor rgb="FFABCC4D"/>
        <bgColor indexed="64"/>
      </patternFill>
    </fill>
    <fill>
      <patternFill patternType="solid">
        <fgColor rgb="FF787878"/>
        <bgColor indexed="64"/>
      </patternFill>
    </fill>
    <fill>
      <patternFill patternType="solid">
        <fgColor rgb="FF6E0036"/>
        <bgColor indexed="64"/>
      </patternFill>
    </fill>
    <fill>
      <patternFill patternType="solid">
        <fgColor rgb="FF38ADBD"/>
        <bgColor indexed="64"/>
      </patternFill>
    </fill>
    <fill>
      <patternFill patternType="solid">
        <fgColor rgb="FFA1A1A1"/>
        <bgColor indexed="64"/>
      </patternFill>
    </fill>
    <fill>
      <patternFill patternType="solid">
        <fgColor rgb="FF910045"/>
        <bgColor indexed="64"/>
      </patternFill>
    </fill>
    <fill>
      <patternFill patternType="solid">
        <fgColor rgb="FF4AE8FC"/>
        <bgColor indexed="64"/>
      </patternFill>
    </fill>
    <fill>
      <patternFill patternType="solid">
        <fgColor rgb="FFB5B5B5"/>
        <bgColor indexed="64"/>
      </patternFill>
    </fill>
    <fill>
      <patternFill patternType="solid">
        <fgColor rgb="FFA8336B"/>
        <bgColor indexed="64"/>
      </patternFill>
    </fill>
    <fill>
      <patternFill patternType="solid">
        <fgColor rgb="FF6EEDFC"/>
        <bgColor indexed="64"/>
      </patternFill>
    </fill>
    <fill>
      <patternFill patternType="solid">
        <fgColor rgb="FF3D240D"/>
        <bgColor indexed="64"/>
      </patternFill>
    </fill>
    <fill>
      <patternFill patternType="solid">
        <fgColor rgb="FF2E2659"/>
        <bgColor indexed="64"/>
      </patternFill>
    </fill>
    <fill>
      <patternFill patternType="solid">
        <fgColor rgb="FF00636E"/>
        <bgColor indexed="64"/>
      </patternFill>
    </fill>
    <fill>
      <patternFill patternType="solid">
        <fgColor rgb="FF522E12"/>
        <bgColor indexed="64"/>
      </patternFill>
    </fill>
    <fill>
      <patternFill patternType="solid">
        <fgColor rgb="FF3D3378"/>
        <bgColor indexed="64"/>
      </patternFill>
    </fill>
    <fill>
      <patternFill patternType="solid">
        <fgColor rgb="FF008591"/>
        <bgColor indexed="64"/>
      </patternFill>
    </fill>
    <fill>
      <patternFill patternType="solid">
        <fgColor rgb="FF755940"/>
        <bgColor indexed="64"/>
      </patternFill>
    </fill>
    <fill>
      <patternFill patternType="solid">
        <fgColor rgb="FF635C91"/>
        <bgColor indexed="64"/>
      </patternFill>
    </fill>
    <fill>
      <patternFill patternType="solid">
        <fgColor rgb="FF339EA8"/>
        <bgColor indexed="64"/>
      </patternFill>
    </fill>
    <fill>
      <patternFill patternType="solid">
        <fgColor theme="0"/>
        <bgColor indexed="64"/>
      </patternFill>
    </fill>
    <fill>
      <patternFill patternType="solid">
        <fgColor theme="2"/>
        <bgColor indexed="64"/>
      </patternFill>
    </fill>
    <fill>
      <patternFill patternType="solid">
        <fgColor rgb="FF17365D"/>
        <bgColor indexed="64"/>
      </patternFill>
    </fill>
    <fill>
      <patternFill patternType="solid">
        <fgColor rgb="FFEAF0F6"/>
        <bgColor indexed="64"/>
      </patternFill>
    </fill>
    <fill>
      <patternFill patternType="solid">
        <fgColor rgb="FF2F75B5"/>
        <bgColor indexed="64"/>
      </patternFill>
    </fill>
    <fill>
      <patternFill patternType="solid">
        <fgColor rgb="FFF3F6F9"/>
        <bgColor indexed="64"/>
      </patternFill>
    </fill>
    <fill>
      <patternFill patternType="solid">
        <fgColor rgb="FFD9EAF7"/>
        <bgColor indexed="64"/>
      </patternFill>
    </fill>
    <fill>
      <patternFill patternType="solid">
        <fgColor rgb="FFFAFCFE"/>
        <bgColor indexed="64"/>
      </patternFill>
    </fill>
    <fill>
      <patternFill patternType="solid">
        <fgColor theme="2" tint="-9.9978637043366805E-2"/>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thin">
        <color theme="0"/>
      </right>
      <top style="thin">
        <color theme="0"/>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thin">
        <color rgb="FFE7E6E6"/>
      </bottom>
      <diagonal/>
    </border>
    <border>
      <left/>
      <right/>
      <top style="thin">
        <color rgb="FFE7E6E6"/>
      </top>
      <bottom style="thin">
        <color rgb="FFE7E6E6"/>
      </bottom>
      <diagonal/>
    </border>
    <border>
      <left/>
      <right/>
      <top style="thin">
        <color rgb="FFE7E6E6"/>
      </top>
      <bottom style="thin">
        <color rgb="FFD9E1F2"/>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36" fillId="0" borderId="0" applyNumberFormat="0" applyFill="0" applyBorder="0" applyAlignment="0" applyProtection="0"/>
  </cellStyleXfs>
  <cellXfs count="234">
    <xf numFmtId="0" fontId="0" fillId="0" borderId="0" xfId="0"/>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26" borderId="0" xfId="0" applyFill="1"/>
    <xf numFmtId="0" fontId="0" fillId="27" borderId="0" xfId="0" applyFill="1"/>
    <xf numFmtId="0" fontId="0" fillId="28" borderId="0" xfId="0" applyFill="1"/>
    <xf numFmtId="0" fontId="0" fillId="29" borderId="0" xfId="0" applyFill="1"/>
    <xf numFmtId="0" fontId="3" fillId="0" borderId="2" xfId="0" applyFont="1" applyBorder="1"/>
    <xf numFmtId="0" fontId="3" fillId="0" borderId="7" xfId="0" applyFont="1" applyBorder="1"/>
    <xf numFmtId="0" fontId="3" fillId="30" borderId="0" xfId="0" applyFont="1" applyFill="1"/>
    <xf numFmtId="0" fontId="3" fillId="0" borderId="0" xfId="0" applyFont="1"/>
    <xf numFmtId="0" fontId="3" fillId="0" borderId="3" xfId="0" applyFont="1" applyBorder="1"/>
    <xf numFmtId="0" fontId="5" fillId="30" borderId="3" xfId="0" applyFont="1" applyFill="1" applyBorder="1" applyAlignment="1">
      <alignment vertical="center" wrapText="1"/>
    </xf>
    <xf numFmtId="0" fontId="5" fillId="30" borderId="6" xfId="0" applyFont="1" applyFill="1" applyBorder="1" applyAlignment="1">
      <alignment vertical="center" wrapText="1"/>
    </xf>
    <xf numFmtId="0" fontId="5" fillId="30" borderId="5" xfId="0" applyFont="1" applyFill="1" applyBorder="1" applyAlignment="1">
      <alignment vertical="center" wrapText="1"/>
    </xf>
    <xf numFmtId="0" fontId="3" fillId="0" borderId="9" xfId="0" applyFont="1" applyBorder="1"/>
    <xf numFmtId="0" fontId="3" fillId="0" borderId="5" xfId="0" applyFont="1" applyBorder="1"/>
    <xf numFmtId="0" fontId="3" fillId="30" borderId="2" xfId="0" applyFont="1" applyFill="1" applyBorder="1"/>
    <xf numFmtId="0" fontId="3" fillId="30" borderId="7" xfId="0" applyFont="1" applyFill="1" applyBorder="1"/>
    <xf numFmtId="0" fontId="9" fillId="30" borderId="0" xfId="0" applyFont="1" applyFill="1" applyAlignment="1">
      <alignment vertical="center" wrapText="1"/>
    </xf>
    <xf numFmtId="0" fontId="10" fillId="30" borderId="0" xfId="0" applyFont="1" applyFill="1" applyAlignment="1">
      <alignment vertical="center"/>
    </xf>
    <xf numFmtId="0" fontId="3" fillId="0" borderId="0" xfId="0" applyFont="1" applyAlignment="1">
      <alignment vertical="center"/>
    </xf>
    <xf numFmtId="0" fontId="8" fillId="0" borderId="1" xfId="0" applyFont="1" applyBorder="1" applyAlignment="1">
      <alignment horizontal="center"/>
    </xf>
    <xf numFmtId="0" fontId="11" fillId="0" borderId="0" xfId="0" applyFont="1"/>
    <xf numFmtId="0" fontId="12" fillId="0" borderId="0" xfId="0" applyFont="1" applyAlignment="1">
      <alignment vertical="center"/>
    </xf>
    <xf numFmtId="0" fontId="3" fillId="8" borderId="0" xfId="0" applyFont="1" applyFill="1"/>
    <xf numFmtId="0" fontId="3" fillId="2" borderId="0" xfId="0" applyFont="1" applyFill="1"/>
    <xf numFmtId="0" fontId="3" fillId="0" borderId="10" xfId="0" applyFont="1" applyBorder="1"/>
    <xf numFmtId="0" fontId="3" fillId="0" borderId="11" xfId="0" applyFont="1" applyBorder="1"/>
    <xf numFmtId="0" fontId="3" fillId="0" borderId="12" xfId="0" applyFont="1" applyBorder="1"/>
    <xf numFmtId="0" fontId="3" fillId="0" borderId="0" xfId="0" applyFont="1" applyAlignment="1">
      <alignment horizontal="left" vertical="center" wrapText="1"/>
    </xf>
    <xf numFmtId="0" fontId="13" fillId="0" borderId="0" xfId="0" applyFont="1" applyAlignment="1">
      <alignment horizontal="left" vertical="center" wrapText="1"/>
    </xf>
    <xf numFmtId="0" fontId="8" fillId="0" borderId="13" xfId="0" applyFont="1" applyBorder="1" applyAlignment="1">
      <alignment horizontal="center" vertical="center" wrapText="1"/>
    </xf>
    <xf numFmtId="0" fontId="8" fillId="0" borderId="0" xfId="0" applyFont="1" applyAlignment="1">
      <alignment horizontal="center" vertical="center"/>
    </xf>
    <xf numFmtId="0" fontId="3" fillId="0" borderId="14" xfId="0" applyFont="1" applyBorder="1"/>
    <xf numFmtId="0" fontId="3" fillId="0" borderId="0" xfId="0" applyFont="1" applyAlignment="1">
      <alignment wrapText="1"/>
    </xf>
    <xf numFmtId="9" fontId="3" fillId="0" borderId="0" xfId="1" applyFont="1" applyBorder="1" applyAlignment="1">
      <alignment horizontal="center" vertical="center"/>
    </xf>
    <xf numFmtId="0" fontId="8" fillId="0" borderId="15" xfId="0" applyFont="1" applyBorder="1" applyAlignment="1">
      <alignment horizontal="center" vertical="center" wrapText="1"/>
    </xf>
    <xf numFmtId="9" fontId="3" fillId="0" borderId="16" xfId="1" applyFont="1" applyBorder="1" applyAlignment="1">
      <alignment horizontal="center" vertical="center"/>
    </xf>
    <xf numFmtId="0" fontId="3" fillId="0" borderId="16" xfId="0" applyFont="1" applyBorder="1"/>
    <xf numFmtId="0" fontId="3" fillId="0" borderId="17" xfId="0" applyFont="1" applyBorder="1"/>
    <xf numFmtId="0" fontId="3" fillId="0" borderId="0" xfId="0" applyFont="1" applyAlignment="1">
      <alignment horizontal="left"/>
    </xf>
    <xf numFmtId="0" fontId="8" fillId="0" borderId="10" xfId="0" applyFont="1" applyBorder="1" applyAlignment="1">
      <alignment vertical="center" wrapText="1"/>
    </xf>
    <xf numFmtId="0" fontId="8" fillId="0" borderId="11"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165" fontId="3" fillId="0" borderId="0" xfId="0" applyNumberFormat="1" applyFont="1" applyAlignment="1">
      <alignment horizontal="center" vertical="center"/>
    </xf>
    <xf numFmtId="165" fontId="3" fillId="0" borderId="0" xfId="0" applyNumberFormat="1" applyFont="1"/>
    <xf numFmtId="0" fontId="3" fillId="0" borderId="16" xfId="0" applyFont="1" applyBorder="1" applyAlignment="1">
      <alignment horizontal="center" vertical="center"/>
    </xf>
    <xf numFmtId="0" fontId="12" fillId="0" borderId="0" xfId="0" applyFont="1"/>
    <xf numFmtId="0" fontId="15" fillId="0" borderId="0" xfId="0" applyFont="1" applyAlignment="1">
      <alignment horizontal="left" vertical="center" wrapText="1"/>
    </xf>
    <xf numFmtId="9" fontId="15" fillId="0" borderId="0" xfId="1" applyFont="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166" fontId="3" fillId="0" borderId="0" xfId="2" applyNumberFormat="1" applyFont="1" applyAlignment="1">
      <alignment vertical="center"/>
    </xf>
    <xf numFmtId="9" fontId="3" fillId="0" borderId="0" xfId="1" applyFont="1"/>
    <xf numFmtId="0" fontId="10" fillId="0" borderId="0" xfId="0" applyFont="1" applyAlignment="1">
      <alignment horizontal="center" vertical="center" wrapText="1"/>
    </xf>
    <xf numFmtId="0" fontId="19" fillId="0" borderId="0" xfId="0" applyFont="1"/>
    <xf numFmtId="0" fontId="13" fillId="0" borderId="0" xfId="0" applyFont="1" applyAlignment="1">
      <alignment horizontal="right" vertical="center" wrapText="1"/>
    </xf>
    <xf numFmtId="0" fontId="14" fillId="0" borderId="0" xfId="0" applyFont="1" applyAlignment="1">
      <alignment horizontal="left" vertical="center"/>
    </xf>
    <xf numFmtId="0" fontId="20" fillId="0" borderId="0" xfId="0" applyFont="1"/>
    <xf numFmtId="0" fontId="3" fillId="0" borderId="0" xfId="0" applyFont="1" applyAlignment="1">
      <alignment horizontal="left" vertical="center"/>
    </xf>
    <xf numFmtId="167" fontId="21" fillId="0" borderId="0" xfId="0" applyNumberFormat="1" applyFont="1"/>
    <xf numFmtId="167" fontId="22" fillId="0" borderId="0" xfId="0" applyNumberFormat="1" applyFont="1"/>
    <xf numFmtId="166" fontId="3" fillId="0" borderId="0" xfId="2" applyNumberFormat="1" applyFont="1"/>
    <xf numFmtId="0" fontId="4" fillId="30" borderId="0" xfId="0" applyFont="1" applyFill="1"/>
    <xf numFmtId="0" fontId="24" fillId="0" borderId="0" xfId="0" applyFont="1" applyAlignment="1">
      <alignment horizontal="left" vertical="center" wrapText="1"/>
    </xf>
    <xf numFmtId="165" fontId="26" fillId="0" borderId="0" xfId="0" applyNumberFormat="1" applyFont="1"/>
    <xf numFmtId="0" fontId="26" fillId="0" borderId="0" xfId="0" applyFont="1"/>
    <xf numFmtId="0" fontId="8" fillId="0" borderId="0" xfId="0" applyFont="1"/>
    <xf numFmtId="164" fontId="27" fillId="0" borderId="0" xfId="1" applyNumberFormat="1" applyFont="1"/>
    <xf numFmtId="164" fontId="28" fillId="0" borderId="0" xfId="1" applyNumberFormat="1" applyFont="1"/>
    <xf numFmtId="0" fontId="25" fillId="0" borderId="0" xfId="0" applyFont="1"/>
    <xf numFmtId="169" fontId="29" fillId="0" borderId="0" xfId="1" applyNumberFormat="1" applyFont="1" applyAlignment="1">
      <alignment vertical="center" wrapText="1"/>
    </xf>
    <xf numFmtId="168" fontId="14" fillId="0" borderId="0" xfId="1" applyNumberFormat="1" applyFont="1" applyAlignment="1">
      <alignment vertical="center" wrapText="1"/>
    </xf>
    <xf numFmtId="0" fontId="30" fillId="0" borderId="0" xfId="0" applyFont="1"/>
    <xf numFmtId="9" fontId="30" fillId="0" borderId="0" xfId="1" applyFont="1"/>
    <xf numFmtId="0" fontId="22" fillId="0" borderId="0" xfId="0" applyFont="1"/>
    <xf numFmtId="9" fontId="22" fillId="0" borderId="0" xfId="1" applyFont="1"/>
    <xf numFmtId="169" fontId="31" fillId="0" borderId="0" xfId="1" applyNumberFormat="1" applyFont="1" applyAlignment="1">
      <alignment vertical="center" wrapText="1"/>
    </xf>
    <xf numFmtId="0" fontId="23" fillId="30" borderId="0" xfId="0" applyFont="1" applyFill="1" applyAlignment="1">
      <alignment vertical="center" wrapText="1"/>
    </xf>
    <xf numFmtId="0" fontId="32" fillId="0" borderId="0" xfId="0" applyFont="1" applyAlignment="1">
      <alignment horizontal="right" vertical="center" wrapText="1"/>
    </xf>
    <xf numFmtId="0" fontId="35" fillId="30" borderId="0" xfId="0" applyFont="1" applyFill="1"/>
    <xf numFmtId="0" fontId="3" fillId="30" borderId="8" xfId="0" applyFont="1" applyFill="1" applyBorder="1"/>
    <xf numFmtId="0" fontId="3" fillId="30" borderId="3" xfId="0" applyFont="1" applyFill="1" applyBorder="1"/>
    <xf numFmtId="0" fontId="0" fillId="30" borderId="0" xfId="0" applyFill="1"/>
    <xf numFmtId="0" fontId="3" fillId="0" borderId="0" xfId="0" quotePrefix="1" applyFont="1"/>
    <xf numFmtId="0" fontId="3" fillId="0" borderId="0" xfId="0" quotePrefix="1" applyFont="1" applyAlignment="1">
      <alignment wrapText="1"/>
    </xf>
    <xf numFmtId="9" fontId="3" fillId="0" borderId="0" xfId="0" applyNumberFormat="1" applyFont="1"/>
    <xf numFmtId="3" fontId="3" fillId="0" borderId="0" xfId="0" applyNumberFormat="1" applyFont="1"/>
    <xf numFmtId="0" fontId="37" fillId="0" borderId="0" xfId="3" applyFont="1"/>
    <xf numFmtId="10" fontId="3" fillId="0" borderId="0" xfId="1" applyNumberFormat="1" applyFont="1" applyFill="1" applyAlignment="1">
      <alignment vertical="center" wrapText="1"/>
    </xf>
    <xf numFmtId="0" fontId="3" fillId="0" borderId="0" xfId="1" applyNumberFormat="1" applyFont="1" applyFill="1" applyAlignment="1">
      <alignment wrapText="1"/>
    </xf>
    <xf numFmtId="0" fontId="3" fillId="0" borderId="0" xfId="1" applyNumberFormat="1" applyFont="1" applyFill="1" applyAlignment="1"/>
    <xf numFmtId="9" fontId="3" fillId="0" borderId="0" xfId="1" applyFont="1" applyFill="1" applyAlignment="1">
      <alignment vertical="center"/>
    </xf>
    <xf numFmtId="10" fontId="3" fillId="0" borderId="0" xfId="1" applyNumberFormat="1" applyFont="1" applyFill="1" applyAlignment="1"/>
    <xf numFmtId="164" fontId="3" fillId="0" borderId="0" xfId="1" applyNumberFormat="1" applyFont="1" applyFill="1" applyAlignment="1"/>
    <xf numFmtId="9" fontId="3" fillId="0" borderId="0" xfId="1" applyFont="1" applyFill="1" applyAlignment="1"/>
    <xf numFmtId="2" fontId="3" fillId="0" borderId="0" xfId="1" applyNumberFormat="1" applyFont="1" applyFill="1" applyAlignment="1"/>
    <xf numFmtId="164" fontId="3" fillId="0" borderId="0" xfId="1" applyNumberFormat="1" applyFont="1" applyFill="1"/>
    <xf numFmtId="0" fontId="3" fillId="30" borderId="0" xfId="0" applyFont="1" applyFill="1" applyAlignment="1">
      <alignment horizontal="center" vertical="center"/>
    </xf>
    <xf numFmtId="0" fontId="3" fillId="30" borderId="0" xfId="0" applyFont="1" applyFill="1" applyAlignment="1">
      <alignment horizontal="left" vertical="center" wrapText="1"/>
    </xf>
    <xf numFmtId="0" fontId="8" fillId="30" borderId="22" xfId="0" applyFont="1" applyFill="1" applyBorder="1" applyAlignment="1">
      <alignment horizontal="center" vertical="center"/>
    </xf>
    <xf numFmtId="0" fontId="38" fillId="0" borderId="0" xfId="0" applyFont="1" applyAlignment="1">
      <alignment horizontal="left" vertical="center"/>
    </xf>
    <xf numFmtId="14" fontId="3" fillId="0" borderId="0" xfId="0" applyNumberFormat="1" applyFont="1"/>
    <xf numFmtId="0" fontId="36" fillId="0" borderId="0" xfId="3"/>
    <xf numFmtId="0" fontId="39" fillId="0" borderId="0" xfId="0" applyFont="1"/>
    <xf numFmtId="0" fontId="40" fillId="0" borderId="0" xfId="0" applyFont="1"/>
    <xf numFmtId="0" fontId="8" fillId="0" borderId="22" xfId="0" applyFont="1" applyBorder="1" applyAlignment="1">
      <alignment vertical="center" wrapText="1"/>
    </xf>
    <xf numFmtId="0" fontId="3" fillId="30" borderId="32" xfId="0" applyFont="1" applyFill="1" applyBorder="1" applyAlignment="1">
      <alignment vertical="center" wrapText="1"/>
    </xf>
    <xf numFmtId="0" fontId="3" fillId="30" borderId="34" xfId="0" applyFont="1" applyFill="1" applyBorder="1" applyAlignment="1">
      <alignment vertical="center" wrapText="1"/>
    </xf>
    <xf numFmtId="0" fontId="8" fillId="31" borderId="1" xfId="0" applyFont="1" applyFill="1" applyBorder="1" applyAlignment="1">
      <alignment horizontal="left" vertical="center"/>
    </xf>
    <xf numFmtId="0" fontId="3" fillId="30" borderId="0" xfId="0" applyFont="1" applyFill="1" applyAlignment="1">
      <alignment horizontal="left" vertical="center"/>
    </xf>
    <xf numFmtId="0" fontId="8" fillId="31" borderId="29" xfId="0" applyFont="1" applyFill="1" applyBorder="1" applyAlignment="1">
      <alignment horizontal="left" vertical="center"/>
    </xf>
    <xf numFmtId="0" fontId="8" fillId="31" borderId="28" xfId="0" applyFont="1" applyFill="1" applyBorder="1" applyAlignment="1">
      <alignment horizontal="left" vertical="center"/>
    </xf>
    <xf numFmtId="0" fontId="42" fillId="0" borderId="0" xfId="0" applyFont="1" applyAlignment="1">
      <alignment vertical="center"/>
    </xf>
    <xf numFmtId="0" fontId="43" fillId="0" borderId="0" xfId="3" applyFont="1" applyAlignment="1">
      <alignment vertical="center"/>
    </xf>
    <xf numFmtId="0" fontId="40" fillId="0" borderId="0" xfId="0" applyFont="1" applyAlignment="1">
      <alignment vertical="center" wrapText="1"/>
    </xf>
    <xf numFmtId="0" fontId="40" fillId="0" borderId="0" xfId="0" applyFont="1" applyAlignment="1">
      <alignment vertical="center"/>
    </xf>
    <xf numFmtId="0" fontId="37" fillId="0" borderId="0" xfId="3" applyFont="1" applyAlignment="1">
      <alignment vertical="center"/>
    </xf>
    <xf numFmtId="0" fontId="46" fillId="0" borderId="0" xfId="0" applyFont="1"/>
    <xf numFmtId="0" fontId="48" fillId="32" borderId="36" xfId="0" applyFont="1" applyFill="1" applyBorder="1" applyAlignment="1">
      <alignment horizontal="center"/>
    </xf>
    <xf numFmtId="0" fontId="46" fillId="37" borderId="37" xfId="0" applyFont="1" applyFill="1" applyBorder="1" applyAlignment="1">
      <alignment vertical="top" wrapText="1"/>
    </xf>
    <xf numFmtId="0" fontId="46" fillId="0" borderId="37" xfId="0" applyFont="1" applyBorder="1"/>
    <xf numFmtId="0" fontId="48" fillId="32" borderId="37" xfId="0" applyFont="1" applyFill="1" applyBorder="1" applyAlignment="1">
      <alignment horizontal="center"/>
    </xf>
    <xf numFmtId="0" fontId="49" fillId="0" borderId="37" xfId="0" applyFont="1" applyBorder="1" applyAlignment="1">
      <alignment vertical="top" wrapText="1"/>
    </xf>
    <xf numFmtId="0" fontId="46" fillId="0" borderId="37" xfId="0" applyFont="1" applyBorder="1" applyAlignment="1">
      <alignment vertical="top" wrapText="1"/>
    </xf>
    <xf numFmtId="0" fontId="50" fillId="0" borderId="37" xfId="0" applyFont="1" applyBorder="1" applyAlignment="1">
      <alignment vertical="top" wrapText="1"/>
    </xf>
    <xf numFmtId="0" fontId="51" fillId="0" borderId="37" xfId="0" applyFont="1" applyBorder="1" applyAlignment="1">
      <alignment vertical="top" wrapText="1"/>
    </xf>
    <xf numFmtId="0" fontId="52" fillId="37" borderId="37" xfId="0" applyFont="1" applyFill="1" applyBorder="1" applyAlignment="1">
      <alignment vertical="top" wrapText="1"/>
    </xf>
    <xf numFmtId="0" fontId="46" fillId="37" borderId="38" xfId="0" applyFont="1" applyFill="1" applyBorder="1" applyAlignment="1">
      <alignment vertical="top" wrapText="1"/>
    </xf>
    <xf numFmtId="0" fontId="33" fillId="0" borderId="3" xfId="0" applyFont="1" applyBorder="1" applyAlignment="1">
      <alignment horizontal="left" vertical="center" wrapText="1"/>
    </xf>
    <xf numFmtId="0" fontId="33" fillId="0" borderId="4" xfId="0" applyFont="1" applyBorder="1" applyAlignment="1">
      <alignment horizontal="left" vertical="center" wrapText="1"/>
    </xf>
    <xf numFmtId="0" fontId="33" fillId="0" borderId="18" xfId="0" applyFont="1" applyBorder="1" applyAlignment="1">
      <alignment horizontal="left" vertical="center" wrapText="1"/>
    </xf>
    <xf numFmtId="0" fontId="33" fillId="0" borderId="6" xfId="0" applyFont="1" applyBorder="1" applyAlignment="1">
      <alignment horizontal="left" vertical="center" wrapText="1"/>
    </xf>
    <xf numFmtId="0" fontId="33" fillId="0" borderId="0" xfId="0" applyFont="1" applyAlignment="1">
      <alignment horizontal="left" vertical="center" wrapText="1"/>
    </xf>
    <xf numFmtId="0" fontId="33" fillId="0" borderId="19" xfId="0" applyFont="1" applyBorder="1" applyAlignment="1">
      <alignment horizontal="left" vertical="center" wrapText="1"/>
    </xf>
    <xf numFmtId="0" fontId="33" fillId="0" borderId="5" xfId="0" applyFont="1" applyBorder="1" applyAlignment="1">
      <alignment horizontal="left" vertical="center" wrapText="1"/>
    </xf>
    <xf numFmtId="0" fontId="33" fillId="0" borderId="20" xfId="0" applyFont="1" applyBorder="1" applyAlignment="1">
      <alignment horizontal="left" vertical="center" wrapText="1"/>
    </xf>
    <xf numFmtId="0" fontId="33" fillId="0" borderId="21" xfId="0" applyFont="1" applyBorder="1" applyAlignment="1">
      <alignment horizontal="left" vertical="center" wrapText="1"/>
    </xf>
    <xf numFmtId="0" fontId="34" fillId="30" borderId="0" xfId="0" applyFont="1" applyFill="1" applyAlignment="1">
      <alignment horizontal="center" vertical="center" wrapText="1"/>
    </xf>
    <xf numFmtId="0" fontId="4" fillId="30" borderId="0" xfId="0" applyFont="1" applyFill="1" applyAlignment="1">
      <alignment horizontal="center"/>
    </xf>
    <xf numFmtId="0" fontId="4" fillId="0" borderId="0" xfId="0" applyFont="1" applyAlignment="1">
      <alignment horizont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8" xfId="0" applyFont="1" applyBorder="1" applyAlignment="1">
      <alignment horizontal="center" wrapText="1"/>
    </xf>
    <xf numFmtId="0" fontId="3" fillId="0" borderId="6" xfId="0" applyFont="1" applyBorder="1" applyAlignment="1">
      <alignment horizontal="center" wrapText="1"/>
    </xf>
    <xf numFmtId="0" fontId="3" fillId="0" borderId="0" xfId="0" applyFont="1" applyAlignment="1">
      <alignment horizontal="center" wrapText="1"/>
    </xf>
    <xf numFmtId="0" fontId="3" fillId="0" borderId="19" xfId="0" applyFont="1" applyBorder="1" applyAlignment="1">
      <alignment horizontal="center" wrapText="1"/>
    </xf>
    <xf numFmtId="0" fontId="3" fillId="0" borderId="5" xfId="0" applyFont="1" applyBorder="1" applyAlignment="1">
      <alignment horizontal="center" wrapText="1"/>
    </xf>
    <xf numFmtId="0" fontId="3" fillId="0" borderId="20" xfId="0" applyFont="1" applyBorder="1" applyAlignment="1">
      <alignment horizontal="center" wrapText="1"/>
    </xf>
    <xf numFmtId="0" fontId="8" fillId="0" borderId="7" xfId="0" applyFont="1" applyBorder="1" applyAlignment="1">
      <alignment horizontal="center"/>
    </xf>
    <xf numFmtId="0" fontId="4" fillId="30" borderId="3" xfId="0" applyFont="1" applyFill="1" applyBorder="1" applyAlignment="1">
      <alignment horizontal="center"/>
    </xf>
    <xf numFmtId="0" fontId="7" fillId="30" borderId="2" xfId="0" applyFont="1" applyFill="1" applyBorder="1" applyAlignment="1">
      <alignment horizontal="left"/>
    </xf>
    <xf numFmtId="0" fontId="7" fillId="30" borderId="7" xfId="0" applyFont="1" applyFill="1" applyBorder="1" applyAlignment="1">
      <alignment horizontal="left"/>
    </xf>
    <xf numFmtId="0" fontId="6" fillId="30" borderId="4" xfId="0" applyFont="1" applyFill="1" applyBorder="1" applyAlignment="1">
      <alignment horizontal="center" vertical="center" wrapText="1"/>
    </xf>
    <xf numFmtId="0" fontId="11" fillId="0" borderId="3" xfId="0" applyFont="1" applyBorder="1" applyAlignment="1">
      <alignment horizontal="center"/>
    </xf>
    <xf numFmtId="0" fontId="11" fillId="0" borderId="4" xfId="0" applyFont="1" applyBorder="1" applyAlignment="1">
      <alignment horizontal="center"/>
    </xf>
    <xf numFmtId="0" fontId="11" fillId="0" borderId="18" xfId="0" applyFont="1" applyBorder="1" applyAlignment="1">
      <alignment horizontal="center"/>
    </xf>
    <xf numFmtId="0" fontId="11" fillId="0" borderId="5" xfId="0" applyFont="1" applyBorder="1" applyAlignment="1">
      <alignment horizontal="center"/>
    </xf>
    <xf numFmtId="0" fontId="11" fillId="0" borderId="20" xfId="0" applyFont="1" applyBorder="1" applyAlignment="1">
      <alignment horizontal="center"/>
    </xf>
    <xf numFmtId="0" fontId="11" fillId="0" borderId="21" xfId="0" applyFont="1" applyBorder="1" applyAlignment="1">
      <alignment horizontal="center"/>
    </xf>
    <xf numFmtId="0" fontId="9" fillId="30" borderId="0" xfId="0" applyFont="1" applyFill="1" applyAlignment="1">
      <alignment horizontal="center" vertical="center" wrapText="1"/>
    </xf>
    <xf numFmtId="0" fontId="10" fillId="30" borderId="0" xfId="0" applyFont="1" applyFill="1" applyAlignment="1">
      <alignment horizontal="center" vertical="center"/>
    </xf>
    <xf numFmtId="0" fontId="41" fillId="30" borderId="30" xfId="0" applyFont="1" applyFill="1" applyBorder="1" applyAlignment="1">
      <alignment horizontal="left" vertical="center" wrapText="1"/>
    </xf>
    <xf numFmtId="0" fontId="41" fillId="30" borderId="35" xfId="0" applyFont="1" applyFill="1" applyBorder="1" applyAlignment="1">
      <alignment horizontal="left" vertical="center" wrapText="1"/>
    </xf>
    <xf numFmtId="0" fontId="41" fillId="30" borderId="33" xfId="0" applyFont="1" applyFill="1" applyBorder="1" applyAlignment="1">
      <alignment horizontal="left" vertical="center" wrapText="1"/>
    </xf>
    <xf numFmtId="0" fontId="41" fillId="30" borderId="34" xfId="0" applyFont="1" applyFill="1" applyBorder="1" applyAlignment="1">
      <alignment horizontal="left" vertical="center" wrapText="1"/>
    </xf>
    <xf numFmtId="0" fontId="8" fillId="31" borderId="29" xfId="0" applyFont="1" applyFill="1" applyBorder="1" applyAlignment="1">
      <alignment horizontal="center" vertical="center"/>
    </xf>
    <xf numFmtId="0" fontId="8" fillId="31" borderId="31" xfId="0" applyFont="1" applyFill="1" applyBorder="1" applyAlignment="1">
      <alignment horizontal="center" vertical="center"/>
    </xf>
    <xf numFmtId="0" fontId="8" fillId="31" borderId="28" xfId="0" applyFont="1" applyFill="1" applyBorder="1" applyAlignment="1">
      <alignment horizontal="center" vertical="center"/>
    </xf>
    <xf numFmtId="0" fontId="8" fillId="0" borderId="27" xfId="0" applyFont="1" applyBorder="1" applyAlignment="1">
      <alignment vertical="center" wrapText="1"/>
    </xf>
    <xf numFmtId="0" fontId="8" fillId="0" borderId="22" xfId="0" applyFont="1" applyBorder="1" applyAlignment="1">
      <alignment vertical="center" wrapText="1"/>
    </xf>
    <xf numFmtId="0" fontId="3" fillId="30" borderId="30" xfId="0" applyFont="1" applyFill="1" applyBorder="1" applyAlignment="1">
      <alignment vertical="center" wrapText="1"/>
    </xf>
    <xf numFmtId="0" fontId="3" fillId="30" borderId="35" xfId="0" applyFont="1" applyFill="1" applyBorder="1" applyAlignment="1">
      <alignment vertical="center" wrapText="1"/>
    </xf>
    <xf numFmtId="0" fontId="3" fillId="30" borderId="0" xfId="0" applyFont="1" applyFill="1" applyAlignment="1">
      <alignment vertical="center" wrapText="1"/>
    </xf>
    <xf numFmtId="0" fontId="3" fillId="30" borderId="32" xfId="0" applyFont="1" applyFill="1" applyBorder="1" applyAlignment="1">
      <alignment vertical="center" wrapText="1"/>
    </xf>
    <xf numFmtId="0" fontId="3" fillId="30" borderId="33" xfId="0" applyFont="1" applyFill="1" applyBorder="1" applyAlignment="1">
      <alignment vertical="center" wrapText="1"/>
    </xf>
    <xf numFmtId="0" fontId="3" fillId="30" borderId="34" xfId="0" applyFont="1" applyFill="1" applyBorder="1" applyAlignment="1">
      <alignment vertical="center" wrapText="1"/>
    </xf>
    <xf numFmtId="0" fontId="37" fillId="30" borderId="26" xfId="3" applyFont="1" applyFill="1" applyBorder="1" applyAlignment="1">
      <alignment horizontal="center" vertical="center"/>
    </xf>
    <xf numFmtId="0" fontId="3" fillId="30" borderId="27" xfId="0" applyFont="1" applyFill="1" applyBorder="1" applyAlignment="1">
      <alignment horizontal="center" vertical="center"/>
    </xf>
    <xf numFmtId="0" fontId="3" fillId="30" borderId="22" xfId="0" applyFont="1" applyFill="1" applyBorder="1" applyAlignment="1">
      <alignment horizontal="center" vertical="center"/>
    </xf>
    <xf numFmtId="14" fontId="3" fillId="30" borderId="27" xfId="0" applyNumberFormat="1" applyFont="1" applyFill="1" applyBorder="1" applyAlignment="1">
      <alignment horizontal="center" vertical="center" wrapText="1"/>
    </xf>
    <xf numFmtId="14" fontId="3" fillId="30" borderId="22" xfId="0" applyNumberFormat="1" applyFont="1" applyFill="1" applyBorder="1" applyAlignment="1">
      <alignment horizontal="center" vertical="center" wrapText="1"/>
    </xf>
    <xf numFmtId="0" fontId="37" fillId="0" borderId="26" xfId="3" applyFont="1" applyBorder="1" applyAlignment="1">
      <alignment horizontal="center"/>
    </xf>
    <xf numFmtId="0" fontId="37" fillId="0" borderId="27" xfId="3" applyFont="1" applyBorder="1" applyAlignment="1">
      <alignment horizontal="center"/>
    </xf>
    <xf numFmtId="0" fontId="37" fillId="0" borderId="22" xfId="3" applyFont="1" applyBorder="1" applyAlignment="1">
      <alignment horizontal="center"/>
    </xf>
    <xf numFmtId="0" fontId="3" fillId="30" borderId="23" xfId="0" applyFont="1" applyFill="1" applyBorder="1" applyAlignment="1">
      <alignment horizontal="left" vertical="center" wrapText="1"/>
    </xf>
    <xf numFmtId="0" fontId="3" fillId="30" borderId="24" xfId="0" applyFont="1" applyFill="1" applyBorder="1" applyAlignment="1">
      <alignment horizontal="left" vertical="center" wrapText="1"/>
    </xf>
    <xf numFmtId="0" fontId="3" fillId="30" borderId="25" xfId="0" applyFont="1" applyFill="1" applyBorder="1" applyAlignment="1">
      <alignment horizontal="left" vertical="center" wrapText="1"/>
    </xf>
    <xf numFmtId="0" fontId="3" fillId="30" borderId="27" xfId="0" applyFont="1" applyFill="1" applyBorder="1" applyAlignment="1">
      <alignment horizontal="left" vertical="center" wrapText="1"/>
    </xf>
    <xf numFmtId="0" fontId="3" fillId="30" borderId="22" xfId="0" applyFont="1" applyFill="1" applyBorder="1" applyAlignment="1">
      <alignment horizontal="left" vertical="center" wrapText="1"/>
    </xf>
    <xf numFmtId="0" fontId="37" fillId="0" borderId="26" xfId="3" applyFont="1" applyFill="1" applyBorder="1" applyAlignment="1">
      <alignment horizontal="center" vertical="center"/>
    </xf>
    <xf numFmtId="0" fontId="37" fillId="0" borderId="27" xfId="3" applyFont="1" applyFill="1" applyBorder="1" applyAlignment="1">
      <alignment horizontal="center" vertical="center"/>
    </xf>
    <xf numFmtId="0" fontId="37" fillId="0" borderId="22" xfId="3" applyFont="1" applyFill="1" applyBorder="1" applyAlignment="1">
      <alignment horizontal="center" vertical="center"/>
    </xf>
    <xf numFmtId="0" fontId="44" fillId="32" borderId="0" xfId="0" applyFont="1" applyFill="1"/>
    <xf numFmtId="0" fontId="45" fillId="33" borderId="0" xfId="0" applyFont="1" applyFill="1"/>
    <xf numFmtId="0" fontId="46" fillId="35" borderId="0" xfId="0" applyFont="1" applyFill="1" applyAlignment="1">
      <alignment wrapText="1"/>
    </xf>
    <xf numFmtId="0" fontId="52" fillId="36" borderId="0" xfId="0" applyFont="1" applyFill="1" applyAlignment="1">
      <alignment wrapText="1"/>
    </xf>
    <xf numFmtId="0" fontId="47" fillId="34" borderId="0" xfId="0" applyFont="1" applyFill="1"/>
    <xf numFmtId="0" fontId="47" fillId="34" borderId="37" xfId="0" applyFont="1" applyFill="1" applyBorder="1"/>
    <xf numFmtId="17" fontId="0" fillId="0" borderId="0" xfId="0" applyNumberFormat="1"/>
    <xf numFmtId="3" fontId="0" fillId="0" borderId="0" xfId="0" applyNumberFormat="1"/>
    <xf numFmtId="4" fontId="0" fillId="0" borderId="0" xfId="0" applyNumberFormat="1"/>
    <xf numFmtId="0" fontId="40" fillId="30" borderId="0" xfId="0" applyFont="1" applyFill="1" applyAlignment="1">
      <alignment vertical="center"/>
    </xf>
    <xf numFmtId="0" fontId="54" fillId="38" borderId="0" xfId="0" applyFont="1" applyFill="1" applyAlignment="1">
      <alignment vertical="center"/>
    </xf>
    <xf numFmtId="0" fontId="3" fillId="30" borderId="0" xfId="0" applyFont="1" applyFill="1" applyAlignment="1">
      <alignment vertical="center"/>
    </xf>
    <xf numFmtId="0" fontId="37" fillId="30" borderId="0" xfId="3" applyFont="1" applyFill="1" applyAlignment="1">
      <alignment vertical="center"/>
    </xf>
    <xf numFmtId="0" fontId="11" fillId="30" borderId="0" xfId="0" applyFont="1" applyFill="1" applyAlignment="1">
      <alignment vertical="center"/>
    </xf>
    <xf numFmtId="49" fontId="37" fillId="30" borderId="0" xfId="3" applyNumberFormat="1" applyFont="1" applyFill="1" applyAlignment="1">
      <alignment vertical="center"/>
    </xf>
    <xf numFmtId="0" fontId="53" fillId="30" borderId="0" xfId="0" applyFont="1" applyFill="1" applyAlignment="1">
      <alignment vertical="center"/>
    </xf>
    <xf numFmtId="0" fontId="55" fillId="0" borderId="2" xfId="0" applyFont="1" applyBorder="1"/>
  </cellXfs>
  <cellStyles count="4">
    <cellStyle name="Comma" xfId="2" builtinId="3"/>
    <cellStyle name="Hyperlink" xfId="3" builtinId="8"/>
    <cellStyle name="Normal" xfId="0" builtinId="0"/>
    <cellStyle name="Per cent" xfId="1" builtinId="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1A1A1"/>
      <color rgb="FF6E0036"/>
      <color rgb="FF941C82"/>
      <color rgb="FF94C21F"/>
      <color rgb="FF339EA8"/>
      <color rgb="FF339E88"/>
      <color rgb="FF709117"/>
      <color rgb="FFFF7A26"/>
      <color rgb="FFBF5712"/>
      <color rgb="FF0085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image" Target="../media/image12.png"/><Relationship Id="rId2" Type="http://schemas.microsoft.com/office/2011/relationships/chartColorStyle" Target="colors6.xml"/><Relationship Id="rId1" Type="http://schemas.microsoft.com/office/2011/relationships/chartStyle" Target="style6.xml"/><Relationship Id="rId4" Type="http://schemas.openxmlformats.org/officeDocument/2006/relationships/image" Target="../media/image13.png"/></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Need!$F$15</c:f>
              <c:strCache>
                <c:ptCount val="1"/>
                <c:pt idx="0">
                  <c:v>Healthy Years</c:v>
                </c:pt>
              </c:strCache>
            </c:strRef>
          </c:tx>
          <c:spPr>
            <a:solidFill>
              <a:srgbClr val="FF7A26"/>
            </a:solidFill>
            <a:ln>
              <a:noFill/>
            </a:ln>
            <a:effectLst/>
            <a:scene3d>
              <a:camera prst="orthographicFront"/>
              <a:lightRig rig="threePt" dir="t"/>
            </a:scene3d>
            <a:sp3d>
              <a:bevelT w="0" h="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Need!$E$16:$E$17</c:f>
              <c:strCache>
                <c:ptCount val="2"/>
                <c:pt idx="0">
                  <c:v>Men</c:v>
                </c:pt>
                <c:pt idx="1">
                  <c:v>Women</c:v>
                </c:pt>
              </c:strCache>
            </c:strRef>
          </c:cat>
          <c:val>
            <c:numRef>
              <c:f>Need!$F$16:$F$17</c:f>
              <c:numCache>
                <c:formatCode>General</c:formatCode>
                <c:ptCount val="2"/>
                <c:pt idx="0">
                  <c:v>61.3</c:v>
                </c:pt>
                <c:pt idx="1">
                  <c:v>61.1</c:v>
                </c:pt>
              </c:numCache>
            </c:numRef>
          </c:val>
          <c:extLst>
            <c:ext xmlns:c16="http://schemas.microsoft.com/office/drawing/2014/chart" uri="{C3380CC4-5D6E-409C-BE32-E72D297353CC}">
              <c16:uniqueId val="{00000000-5AE7-44A9-AD70-3094D623E358}"/>
            </c:ext>
          </c:extLst>
        </c:ser>
        <c:ser>
          <c:idx val="1"/>
          <c:order val="1"/>
          <c:tx>
            <c:strRef>
              <c:f>Need!$G$15</c:f>
              <c:strCache>
                <c:ptCount val="1"/>
                <c:pt idx="0">
                  <c:v>Years in Poor Health</c:v>
                </c:pt>
              </c:strCache>
            </c:strRef>
          </c:tx>
          <c:spPr>
            <a:solidFill>
              <a:srgbClr val="BF5712"/>
            </a:solidFill>
            <a:ln>
              <a:noFill/>
            </a:ln>
            <a:effectLst/>
            <a:scene3d>
              <a:camera prst="orthographicFront"/>
              <a:lightRig rig="threePt" dir="t"/>
            </a:scene3d>
            <a:sp3d>
              <a:bevelT w="0" h="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Need!$E$16:$E$17</c:f>
              <c:strCache>
                <c:ptCount val="2"/>
                <c:pt idx="0">
                  <c:v>Men</c:v>
                </c:pt>
                <c:pt idx="1">
                  <c:v>Women</c:v>
                </c:pt>
              </c:strCache>
            </c:strRef>
          </c:cat>
          <c:val>
            <c:numRef>
              <c:f>Need!$G$16:$G$17</c:f>
              <c:numCache>
                <c:formatCode>General</c:formatCode>
                <c:ptCount val="2"/>
                <c:pt idx="0" formatCode="0.0">
                  <c:v>18.5</c:v>
                </c:pt>
                <c:pt idx="1">
                  <c:v>22.499999999999993</c:v>
                </c:pt>
              </c:numCache>
            </c:numRef>
          </c:val>
          <c:extLst>
            <c:ext xmlns:c16="http://schemas.microsoft.com/office/drawing/2014/chart" uri="{C3380CC4-5D6E-409C-BE32-E72D297353CC}">
              <c16:uniqueId val="{00000001-5AE7-44A9-AD70-3094D623E358}"/>
            </c:ext>
          </c:extLst>
        </c:ser>
        <c:dLbls>
          <c:dLblPos val="ctr"/>
          <c:showLegendKey val="0"/>
          <c:showVal val="1"/>
          <c:showCatName val="0"/>
          <c:showSerName val="0"/>
          <c:showPercent val="0"/>
          <c:showBubbleSize val="0"/>
        </c:dLbls>
        <c:gapWidth val="150"/>
        <c:overlap val="100"/>
        <c:axId val="2088318736"/>
        <c:axId val="2088319216"/>
      </c:barChart>
      <c:catAx>
        <c:axId val="20883187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88319216"/>
        <c:crosses val="autoZero"/>
        <c:auto val="1"/>
        <c:lblAlgn val="ctr"/>
        <c:lblOffset val="100"/>
        <c:noMultiLvlLbl val="0"/>
      </c:catAx>
      <c:valAx>
        <c:axId val="2088319216"/>
        <c:scaling>
          <c:orientation val="minMax"/>
          <c:max val="90"/>
          <c:min val="0"/>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88318736"/>
        <c:crosses val="autoZero"/>
        <c:crossBetween val="between"/>
        <c:majorUnit val="1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50003690946093"/>
          <c:y val="0.21799412077864963"/>
          <c:w val="0.80384350946732697"/>
          <c:h val="0.46259542633802359"/>
        </c:manualLayout>
      </c:layout>
      <c:barChart>
        <c:barDir val="col"/>
        <c:grouping val="stacked"/>
        <c:varyColors val="0"/>
        <c:ser>
          <c:idx val="0"/>
          <c:order val="0"/>
          <c:tx>
            <c:strRef>
              <c:f>Need!$E$12</c:f>
              <c:strCache>
                <c:ptCount val="1"/>
                <c:pt idx="0">
                  <c:v>Population aged 18-64</c:v>
                </c:pt>
              </c:strCache>
            </c:strRef>
          </c:tx>
          <c:spPr>
            <a:solidFill>
              <a:srgbClr val="701461"/>
            </a:solidFill>
            <a:ln w="19050">
              <a:solidFill>
                <a:srgbClr val="000000"/>
              </a:solidFill>
              <a:prstDash val="solid"/>
            </a:ln>
            <a:effectLst/>
            <a:scene3d>
              <a:camera prst="orthographicFront"/>
              <a:lightRig rig="threePt" dir="t"/>
            </a:scene3d>
            <a:sp3d>
              <a:bevelT w="0" h="0"/>
            </a:sp3d>
          </c:spPr>
          <c:invertIfNegative val="0"/>
          <c:dPt>
            <c:idx val="0"/>
            <c:invertIfNegative val="0"/>
            <c:bubble3D val="0"/>
            <c:spPr>
              <a:solidFill>
                <a:srgbClr val="701461"/>
              </a:solidFill>
              <a:ln w="19050">
                <a:solidFill>
                  <a:srgbClr val="000000"/>
                </a:solidFill>
                <a:prstDash val="solid"/>
              </a:ln>
              <a:effectLst/>
              <a:scene3d>
                <a:camera prst="orthographicFront"/>
                <a:lightRig rig="threePt" dir="t"/>
              </a:scene3d>
              <a:sp3d>
                <a:bevelT w="0" h="0"/>
              </a:sp3d>
            </c:spPr>
            <c:extLst>
              <c:ext xmlns:c16="http://schemas.microsoft.com/office/drawing/2014/chart" uri="{C3380CC4-5D6E-409C-BE32-E72D297353CC}">
                <c16:uniqueId val="{00000001-2FC9-4911-A7A3-6AA01042C523}"/>
              </c:ext>
            </c:extLst>
          </c:dPt>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Need!$F$11:$G$11</c:f>
              <c:numCache>
                <c:formatCode>General</c:formatCode>
                <c:ptCount val="2"/>
                <c:pt idx="0">
                  <c:v>2015</c:v>
                </c:pt>
                <c:pt idx="1">
                  <c:v>2025</c:v>
                </c:pt>
              </c:numCache>
            </c:numRef>
          </c:cat>
          <c:val>
            <c:numRef>
              <c:f>Need!$F$12:$G$12</c:f>
              <c:numCache>
                <c:formatCode>0%</c:formatCode>
                <c:ptCount val="2"/>
                <c:pt idx="0">
                  <c:v>0.70963678793263862</c:v>
                </c:pt>
                <c:pt idx="1">
                  <c:v>0.69105250947335861</c:v>
                </c:pt>
              </c:numCache>
            </c:numRef>
          </c:val>
          <c:extLst>
            <c:ext xmlns:c16="http://schemas.microsoft.com/office/drawing/2014/chart" uri="{C3380CC4-5D6E-409C-BE32-E72D297353CC}">
              <c16:uniqueId val="{00000000-8209-4B62-A835-E96EBFB8FFA9}"/>
            </c:ext>
          </c:extLst>
        </c:ser>
        <c:ser>
          <c:idx val="1"/>
          <c:order val="1"/>
          <c:tx>
            <c:strRef>
              <c:f>Need!$E$13</c:f>
              <c:strCache>
                <c:ptCount val="1"/>
                <c:pt idx="0">
                  <c:v>Population aged 65+</c:v>
                </c:pt>
              </c:strCache>
            </c:strRef>
          </c:tx>
          <c:spPr>
            <a:solidFill>
              <a:srgbClr val="AB4A99"/>
            </a:solidFill>
            <a:ln w="19050">
              <a:solidFill>
                <a:srgbClr val="000000"/>
              </a:solidFill>
              <a:prstDash val="solid"/>
            </a:ln>
            <a:effectLst/>
            <a:scene3d>
              <a:camera prst="orthographicFront"/>
              <a:lightRig rig="threePt" dir="t"/>
            </a:scene3d>
            <a:sp3d>
              <a:bevelT w="0" h="0"/>
            </a:sp3d>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Need!$F$11:$G$11</c:f>
              <c:numCache>
                <c:formatCode>General</c:formatCode>
                <c:ptCount val="2"/>
                <c:pt idx="0">
                  <c:v>2015</c:v>
                </c:pt>
                <c:pt idx="1">
                  <c:v>2025</c:v>
                </c:pt>
              </c:numCache>
            </c:numRef>
          </c:cat>
          <c:val>
            <c:numRef>
              <c:f>Need!$F$13:$G$13</c:f>
              <c:numCache>
                <c:formatCode>0%</c:formatCode>
                <c:ptCount val="2"/>
                <c:pt idx="0">
                  <c:v>0.29036321206736143</c:v>
                </c:pt>
                <c:pt idx="1">
                  <c:v>0.30894749052664139</c:v>
                </c:pt>
              </c:numCache>
            </c:numRef>
          </c:val>
          <c:extLst>
            <c:ext xmlns:c16="http://schemas.microsoft.com/office/drawing/2014/chart" uri="{C3380CC4-5D6E-409C-BE32-E72D297353CC}">
              <c16:uniqueId val="{00000001-8209-4B62-A835-E96EBFB8FFA9}"/>
            </c:ext>
          </c:extLst>
        </c:ser>
        <c:dLbls>
          <c:showLegendKey val="0"/>
          <c:showVal val="0"/>
          <c:showCatName val="0"/>
          <c:showSerName val="0"/>
          <c:showPercent val="0"/>
          <c:showBubbleSize val="0"/>
        </c:dLbls>
        <c:gapWidth val="90"/>
        <c:overlap val="100"/>
        <c:axId val="414249008"/>
        <c:axId val="414249488"/>
      </c:barChart>
      <c:catAx>
        <c:axId val="414249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14249488"/>
        <c:crosses val="autoZero"/>
        <c:auto val="1"/>
        <c:lblAlgn val="ctr"/>
        <c:lblOffset val="100"/>
        <c:noMultiLvlLbl val="0"/>
      </c:catAx>
      <c:valAx>
        <c:axId val="414249488"/>
        <c:scaling>
          <c:orientation val="minMax"/>
          <c:max val="1"/>
        </c:scaling>
        <c:delete val="1"/>
        <c:axPos val="l"/>
        <c:numFmt formatCode="0%" sourceLinked="1"/>
        <c:majorTickMark val="none"/>
        <c:minorTickMark val="none"/>
        <c:tickLblPos val="nextTo"/>
        <c:crossAx val="414249008"/>
        <c:crosses val="autoZero"/>
        <c:crossBetween val="between"/>
      </c:valAx>
      <c:spPr>
        <a:noFill/>
        <a:ln w="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latin typeface="+mn-l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Workforce!$G$14</c:f>
          <c:strCache>
            <c:ptCount val="1"/>
            <c:pt idx="0">
              <c:v>Breakdown of Filled Posts by Sector - Norfolk</c:v>
            </c:pt>
          </c:strCache>
        </c:strRef>
      </c:tx>
      <c:overlay val="0"/>
      <c:spPr>
        <a:noFill/>
        <a:ln>
          <a:noFill/>
        </a:ln>
        <a:effectLst/>
      </c:spPr>
      <c:txPr>
        <a:bodyPr rot="0" spcFirstLastPara="1" vertOverflow="ellipsis" vert="horz" wrap="square" anchor="ctr" anchorCtr="1"/>
        <a:lstStyle/>
        <a:p>
          <a:pPr>
            <a:defRPr sz="11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4171117197306857"/>
          <c:y val="0.24362223675109204"/>
          <c:w val="0.4694762067785006"/>
          <c:h val="0.62370846243497546"/>
        </c:manualLayout>
      </c:layout>
      <c:pieChart>
        <c:varyColors val="1"/>
        <c:ser>
          <c:idx val="0"/>
          <c:order val="0"/>
          <c:spPr>
            <a:solidFill>
              <a:srgbClr val="941C82"/>
            </a:solidFill>
          </c:spPr>
          <c:dPt>
            <c:idx val="0"/>
            <c:bubble3D val="0"/>
            <c:spPr>
              <a:solidFill>
                <a:srgbClr val="941C82"/>
              </a:solidFill>
              <a:ln w="19050">
                <a:solidFill>
                  <a:schemeClr val="lt1"/>
                </a:solidFill>
              </a:ln>
              <a:effectLst/>
            </c:spPr>
            <c:extLst>
              <c:ext xmlns:c16="http://schemas.microsoft.com/office/drawing/2014/chart" uri="{C3380CC4-5D6E-409C-BE32-E72D297353CC}">
                <c16:uniqueId val="{00000001-AAF6-497D-9123-F6452972A4F9}"/>
              </c:ext>
            </c:extLst>
          </c:dPt>
          <c:dPt>
            <c:idx val="1"/>
            <c:bubble3D val="0"/>
            <c:spPr>
              <a:solidFill>
                <a:srgbClr val="FF7A26"/>
              </a:solidFill>
              <a:ln w="19050">
                <a:solidFill>
                  <a:schemeClr val="lt1"/>
                </a:solidFill>
              </a:ln>
              <a:effectLst/>
            </c:spPr>
            <c:extLst>
              <c:ext xmlns:c16="http://schemas.microsoft.com/office/drawing/2014/chart" uri="{C3380CC4-5D6E-409C-BE32-E72D297353CC}">
                <c16:uniqueId val="{00000003-AAF6-497D-9123-F6452972A4F9}"/>
              </c:ext>
            </c:extLst>
          </c:dPt>
          <c:dLbls>
            <c:spPr>
              <a:noFill/>
              <a:ln>
                <a:noFill/>
              </a:ln>
              <a:effectLst/>
            </c:spPr>
            <c:txPr>
              <a:bodyPr rot="0" spcFirstLastPara="1" vertOverflow="ellipsis" vert="horz" wrap="square" anchor="ctr" anchorCtr="1"/>
              <a:lstStyle/>
              <a:p>
                <a:pPr>
                  <a:defRPr sz="1100" b="0"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Workforce!$E$15:$E$16</c:f>
              <c:strCache>
                <c:ptCount val="2"/>
                <c:pt idx="0">
                  <c:v>Local Authority</c:v>
                </c:pt>
                <c:pt idx="1">
                  <c:v>Independent</c:v>
                </c:pt>
              </c:strCache>
            </c:strRef>
          </c:cat>
          <c:val>
            <c:numRef>
              <c:f>Workforce!$G$15:$G$16</c:f>
              <c:numCache>
                <c:formatCode>0%</c:formatCode>
                <c:ptCount val="2"/>
                <c:pt idx="0">
                  <c:v>0.86</c:v>
                </c:pt>
                <c:pt idx="1">
                  <c:v>0.14000000000000001</c:v>
                </c:pt>
              </c:numCache>
            </c:numRef>
          </c:val>
          <c:extLst>
            <c:ext xmlns:c15="http://schemas.microsoft.com/office/drawing/2012/chart" uri="{02D57815-91ED-43cb-92C2-25804820EDAC}">
              <c15:filteredSeriesTitle>
                <c15:tx>
                  <c:strRef>
                    <c:extLst>
                      <c:ext uri="{02D57815-91ED-43cb-92C2-25804820EDAC}">
                        <c15:formulaRef>
                          <c15:sqref>Workforce!#REF!</c15:sqref>
                        </c15:formulaRef>
                      </c:ext>
                    </c:extLst>
                    <c:strCache>
                      <c:ptCount val="1"/>
                      <c:pt idx="0">
                        <c:v>#REF!</c:v>
                      </c:pt>
                    </c:strCache>
                  </c:strRef>
                </c15:tx>
              </c15:filteredSeriesTitle>
            </c:ext>
            <c:ext xmlns:c16="http://schemas.microsoft.com/office/drawing/2014/chart" uri="{C3380CC4-5D6E-409C-BE32-E72D297353CC}">
              <c16:uniqueId val="{00000004-AAF6-497D-9123-F6452972A4F9}"/>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55555555555555E-2"/>
          <c:y val="5.0808314087759814E-2"/>
          <c:w val="0.93888888888888888"/>
          <c:h val="0.75081049626302487"/>
        </c:manualLayout>
      </c:layout>
      <c:barChart>
        <c:barDir val="bar"/>
        <c:grouping val="stacked"/>
        <c:varyColors val="0"/>
        <c:ser>
          <c:idx val="0"/>
          <c:order val="0"/>
          <c:tx>
            <c:strRef>
              <c:f>'Care Users'!$D$18</c:f>
              <c:strCache>
                <c:ptCount val="1"/>
                <c:pt idx="0">
                  <c:v>In Nursing or Residential Care</c:v>
                </c:pt>
              </c:strCache>
            </c:strRef>
          </c:tx>
          <c:spPr>
            <a:solidFill>
              <a:srgbClr val="BF5712"/>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'Care Users'!$E$18</c:f>
              <c:numCache>
                <c:formatCode>0%</c:formatCode>
                <c:ptCount val="1"/>
                <c:pt idx="0">
                  <c:v>0.16815597075548339</c:v>
                </c:pt>
              </c:numCache>
            </c:numRef>
          </c:val>
          <c:extLst>
            <c:ext xmlns:c16="http://schemas.microsoft.com/office/drawing/2014/chart" uri="{C3380CC4-5D6E-409C-BE32-E72D297353CC}">
              <c16:uniqueId val="{00000000-6833-40A8-9728-BDC19B38C0D2}"/>
            </c:ext>
          </c:extLst>
        </c:ser>
        <c:ser>
          <c:idx val="1"/>
          <c:order val="1"/>
          <c:tx>
            <c:strRef>
              <c:f>'Care Users'!$D$19</c:f>
              <c:strCache>
                <c:ptCount val="1"/>
                <c:pt idx="0">
                  <c:v>In the Community</c:v>
                </c:pt>
              </c:strCache>
            </c:strRef>
          </c:tx>
          <c:spPr>
            <a:solidFill>
              <a:srgbClr val="FF7A26"/>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'Care Users'!$E$19</c:f>
              <c:numCache>
                <c:formatCode>0%</c:formatCode>
                <c:ptCount val="1"/>
                <c:pt idx="0">
                  <c:v>0.83184402924451661</c:v>
                </c:pt>
              </c:numCache>
            </c:numRef>
          </c:val>
          <c:extLst>
            <c:ext xmlns:c16="http://schemas.microsoft.com/office/drawing/2014/chart" uri="{C3380CC4-5D6E-409C-BE32-E72D297353CC}">
              <c16:uniqueId val="{00000001-6833-40A8-9728-BDC19B38C0D2}"/>
            </c:ext>
          </c:extLst>
        </c:ser>
        <c:dLbls>
          <c:showLegendKey val="0"/>
          <c:showVal val="0"/>
          <c:showCatName val="0"/>
          <c:showSerName val="0"/>
          <c:showPercent val="0"/>
          <c:showBubbleSize val="0"/>
        </c:dLbls>
        <c:gapWidth val="150"/>
        <c:overlap val="100"/>
        <c:axId val="1315454543"/>
        <c:axId val="1315455983"/>
      </c:barChart>
      <c:catAx>
        <c:axId val="1315454543"/>
        <c:scaling>
          <c:orientation val="minMax"/>
        </c:scaling>
        <c:delete val="1"/>
        <c:axPos val="l"/>
        <c:numFmt formatCode="General" sourceLinked="1"/>
        <c:majorTickMark val="none"/>
        <c:minorTickMark val="none"/>
        <c:tickLblPos val="nextTo"/>
        <c:crossAx val="1315455983"/>
        <c:crosses val="autoZero"/>
        <c:auto val="1"/>
        <c:lblAlgn val="ctr"/>
        <c:lblOffset val="100"/>
        <c:noMultiLvlLbl val="0"/>
      </c:catAx>
      <c:valAx>
        <c:axId val="1315455983"/>
        <c:scaling>
          <c:orientation val="minMax"/>
          <c:max val="1"/>
        </c:scaling>
        <c:delete val="1"/>
        <c:axPos val="b"/>
        <c:numFmt formatCode="0%" sourceLinked="1"/>
        <c:majorTickMark val="none"/>
        <c:minorTickMark val="none"/>
        <c:tickLblPos val="nextTo"/>
        <c:crossAx val="1315454543"/>
        <c:crosses val="autoZero"/>
        <c:crossBetween val="between"/>
      </c:valAx>
      <c:spPr>
        <a:noFill/>
        <a:ln>
          <a:noFill/>
        </a:ln>
        <a:effectLst/>
      </c:spPr>
    </c:plotArea>
    <c:legend>
      <c:legendPos val="b"/>
      <c:layout>
        <c:manualLayout>
          <c:xMode val="edge"/>
          <c:yMode val="edge"/>
          <c:x val="1.4066054243219582E-3"/>
          <c:y val="0.68960147391046867"/>
          <c:w val="0.99859339457567808"/>
          <c:h val="0.2024179150308161"/>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55555555555555E-2"/>
          <c:y val="7.8901212006637759E-4"/>
          <c:w val="0.93888888888888888"/>
          <c:h val="0.80082892221732094"/>
        </c:manualLayout>
      </c:layout>
      <c:barChart>
        <c:barDir val="bar"/>
        <c:grouping val="stacked"/>
        <c:varyColors val="0"/>
        <c:ser>
          <c:idx val="0"/>
          <c:order val="0"/>
          <c:tx>
            <c:strRef>
              <c:f>'Care Users'!$D$18</c:f>
              <c:strCache>
                <c:ptCount val="1"/>
                <c:pt idx="0">
                  <c:v>In Nursing or Residential Care</c:v>
                </c:pt>
              </c:strCache>
            </c:strRef>
          </c:tx>
          <c:spPr>
            <a:solidFill>
              <a:srgbClr val="70911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'Care Users'!$F$18</c:f>
              <c:numCache>
                <c:formatCode>0%</c:formatCode>
                <c:ptCount val="1"/>
                <c:pt idx="0">
                  <c:v>0.44987363100252742</c:v>
                </c:pt>
              </c:numCache>
            </c:numRef>
          </c:val>
          <c:extLst>
            <c:ext xmlns:c16="http://schemas.microsoft.com/office/drawing/2014/chart" uri="{C3380CC4-5D6E-409C-BE32-E72D297353CC}">
              <c16:uniqueId val="{00000000-603C-4CBE-8965-0FFC3A4364E4}"/>
            </c:ext>
          </c:extLst>
        </c:ser>
        <c:ser>
          <c:idx val="1"/>
          <c:order val="1"/>
          <c:tx>
            <c:strRef>
              <c:f>'Care Users'!$D$19</c:f>
              <c:strCache>
                <c:ptCount val="1"/>
                <c:pt idx="0">
                  <c:v>In the Community</c:v>
                </c:pt>
              </c:strCache>
            </c:strRef>
          </c:tx>
          <c:spPr>
            <a:solidFill>
              <a:srgbClr val="94C21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'Care Users'!$F$19</c:f>
              <c:numCache>
                <c:formatCode>0%</c:formatCode>
                <c:ptCount val="1"/>
                <c:pt idx="0">
                  <c:v>0.55012636899747258</c:v>
                </c:pt>
              </c:numCache>
            </c:numRef>
          </c:val>
          <c:extLst>
            <c:ext xmlns:c16="http://schemas.microsoft.com/office/drawing/2014/chart" uri="{C3380CC4-5D6E-409C-BE32-E72D297353CC}">
              <c16:uniqueId val="{00000001-603C-4CBE-8965-0FFC3A4364E4}"/>
            </c:ext>
          </c:extLst>
        </c:ser>
        <c:dLbls>
          <c:showLegendKey val="0"/>
          <c:showVal val="0"/>
          <c:showCatName val="0"/>
          <c:showSerName val="0"/>
          <c:showPercent val="0"/>
          <c:showBubbleSize val="0"/>
        </c:dLbls>
        <c:gapWidth val="150"/>
        <c:overlap val="100"/>
        <c:axId val="1315454543"/>
        <c:axId val="1315455983"/>
      </c:barChart>
      <c:catAx>
        <c:axId val="1315454543"/>
        <c:scaling>
          <c:orientation val="minMax"/>
        </c:scaling>
        <c:delete val="1"/>
        <c:axPos val="l"/>
        <c:numFmt formatCode="General" sourceLinked="1"/>
        <c:majorTickMark val="none"/>
        <c:minorTickMark val="none"/>
        <c:tickLblPos val="nextTo"/>
        <c:crossAx val="1315455983"/>
        <c:crosses val="autoZero"/>
        <c:auto val="1"/>
        <c:lblAlgn val="ctr"/>
        <c:lblOffset val="100"/>
        <c:noMultiLvlLbl val="0"/>
      </c:catAx>
      <c:valAx>
        <c:axId val="1315455983"/>
        <c:scaling>
          <c:orientation val="minMax"/>
          <c:max val="1"/>
        </c:scaling>
        <c:delete val="1"/>
        <c:axPos val="b"/>
        <c:numFmt formatCode="0%" sourceLinked="1"/>
        <c:majorTickMark val="none"/>
        <c:minorTickMark val="none"/>
        <c:tickLblPos val="nextTo"/>
        <c:crossAx val="1315454543"/>
        <c:crosses val="autoZero"/>
        <c:crossBetween val="between"/>
      </c:valAx>
      <c:spPr>
        <a:noFill/>
        <a:ln>
          <a:noFill/>
        </a:ln>
        <a:effectLst/>
      </c:spPr>
    </c:plotArea>
    <c:legend>
      <c:legendPos val="b"/>
      <c:layout>
        <c:manualLayout>
          <c:xMode val="edge"/>
          <c:yMode val="edge"/>
          <c:x val="0"/>
          <c:y val="0.71173053368328953"/>
          <c:w val="0.99718657042869641"/>
          <c:h val="0.17771061347136621"/>
        </c:manualLayout>
      </c:layout>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blipFill>
              <a:blip xmlns:r="http://schemas.openxmlformats.org/officeDocument/2006/relationships" r:embed="rId3"/>
              <a:stretch>
                <a:fillRect/>
              </a:stretch>
            </a:blipFill>
            <a:ln>
              <a:noFill/>
            </a:ln>
            <a:effectLst/>
          </c:spPr>
          <c:invertIfNegative val="0"/>
          <c:dPt>
            <c:idx val="0"/>
            <c:invertIfNegative val="0"/>
            <c:bubble3D val="0"/>
            <c:spPr>
              <a:blipFill>
                <a:blip xmlns:r="http://schemas.openxmlformats.org/officeDocument/2006/relationships" r:embed="rId3"/>
                <a:stretch>
                  <a:fillRect/>
                </a:stretch>
              </a:blipFill>
              <a:ln>
                <a:noFill/>
              </a:ln>
              <a:effectLst/>
            </c:spPr>
            <c:pictureOptions>
              <c:pictureFormat val="stackScale"/>
              <c:pictureStackUnit val="0.1"/>
            </c:pictureOptions>
            <c:extLst>
              <c:ext xmlns:c16="http://schemas.microsoft.com/office/drawing/2014/chart" uri="{C3380CC4-5D6E-409C-BE32-E72D297353CC}">
                <c16:uniqueId val="{00000001-467C-402F-8AAC-127326147DE7}"/>
              </c:ext>
            </c:extLst>
          </c:dPt>
          <c:dPt>
            <c:idx val="1"/>
            <c:invertIfNegative val="0"/>
            <c:bubble3D val="0"/>
            <c:spPr>
              <a:blipFill>
                <a:blip xmlns:r="http://schemas.openxmlformats.org/officeDocument/2006/relationships" r:embed="rId4"/>
                <a:stretch>
                  <a:fillRect/>
                </a:stretch>
              </a:blipFill>
              <a:ln>
                <a:noFill/>
              </a:ln>
              <a:effectLst/>
            </c:spPr>
            <c:pictureOptions>
              <c:pictureFormat val="stackScale"/>
              <c:pictureStackUnit val="0.1"/>
            </c:pictureOptions>
            <c:extLst>
              <c:ext xmlns:c16="http://schemas.microsoft.com/office/drawing/2014/chart" uri="{C3380CC4-5D6E-409C-BE32-E72D297353CC}">
                <c16:uniqueId val="{00000003-467C-402F-8AAC-127326147DE7}"/>
              </c:ext>
            </c:extLst>
          </c:dPt>
          <c:dLbls>
            <c:spPr>
              <a:noFill/>
              <a:ln>
                <a:solidFill>
                  <a:sysClr val="windowText" lastClr="000000"/>
                </a:solidFill>
              </a:ln>
              <a:effectLst/>
            </c:spPr>
            <c:txPr>
              <a:bodyPr rot="0" spcFirstLastPara="1" vertOverflow="ellipsis" vert="horz" wrap="square" lIns="38100" tIns="19050" rIns="38100" bIns="19050" anchor="ctr" anchorCtr="1">
                <a:spAutoFit/>
              </a:bodyPr>
              <a:lstStyle/>
              <a:p>
                <a:pPr>
                  <a:defRPr sz="16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'Care Users'!$A$21:$A$22</c:f>
              <c:strCache>
                <c:ptCount val="2"/>
                <c:pt idx="0">
                  <c:v>Satisfied with the care and support they receive</c:v>
                </c:pt>
                <c:pt idx="1">
                  <c:v>Felt care and support services help them feel safe</c:v>
                </c:pt>
              </c:strCache>
            </c:strRef>
          </c:cat>
          <c:val>
            <c:numRef>
              <c:f>'Care Users'!$B$21:$B$22</c:f>
              <c:numCache>
                <c:formatCode>0%</c:formatCode>
                <c:ptCount val="2"/>
                <c:pt idx="0">
                  <c:v>0.67799999999999994</c:v>
                </c:pt>
                <c:pt idx="1">
                  <c:v>0.68799999999999994</c:v>
                </c:pt>
              </c:numCache>
            </c:numRef>
          </c:val>
          <c:extLst>
            <c:ext xmlns:c16="http://schemas.microsoft.com/office/drawing/2014/chart" uri="{C3380CC4-5D6E-409C-BE32-E72D297353CC}">
              <c16:uniqueId val="{00000004-467C-402F-8AAC-127326147DE7}"/>
            </c:ext>
          </c:extLst>
        </c:ser>
        <c:dLbls>
          <c:showLegendKey val="0"/>
          <c:showVal val="0"/>
          <c:showCatName val="0"/>
          <c:showSerName val="0"/>
          <c:showPercent val="0"/>
          <c:showBubbleSize val="0"/>
        </c:dLbls>
        <c:gapWidth val="182"/>
        <c:axId val="2061464351"/>
        <c:axId val="2061464831"/>
      </c:barChart>
      <c:catAx>
        <c:axId val="2061464351"/>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61464831"/>
        <c:crosses val="autoZero"/>
        <c:auto val="1"/>
        <c:lblAlgn val="ctr"/>
        <c:lblOffset val="100"/>
        <c:noMultiLvlLbl val="0"/>
      </c:catAx>
      <c:valAx>
        <c:axId val="2061464831"/>
        <c:scaling>
          <c:orientation val="minMax"/>
          <c:max val="1"/>
        </c:scaling>
        <c:delete val="1"/>
        <c:axPos val="b"/>
        <c:numFmt formatCode="0%" sourceLinked="1"/>
        <c:majorTickMark val="out"/>
        <c:minorTickMark val="none"/>
        <c:tickLblPos val="nextTo"/>
        <c:crossAx val="2061464351"/>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Finance!$D$12</c:f>
          <c:strCache>
            <c:ptCount val="1"/>
            <c:pt idx="0">
              <c:v>Adult Social Care Income Breakdown - Norfolk</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7935972374670558"/>
          <c:y val="0.16833847096955462"/>
          <c:w val="0.69752097024095749"/>
          <c:h val="0.72789057574238059"/>
        </c:manualLayout>
      </c:layout>
      <c:barChart>
        <c:barDir val="col"/>
        <c:grouping val="stacked"/>
        <c:varyColors val="0"/>
        <c:ser>
          <c:idx val="0"/>
          <c:order val="0"/>
          <c:tx>
            <c:strRef>
              <c:f>Finance!$D$13</c:f>
              <c:strCache>
                <c:ptCount val="1"/>
                <c:pt idx="0">
                  <c:v>Client contributions</c:v>
                </c:pt>
              </c:strCache>
            </c:strRef>
          </c:tx>
          <c:spPr>
            <a:solidFill>
              <a:srgbClr val="FF7A26"/>
            </a:solidFill>
            <a:ln w="19050">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Finance!$E$12</c:f>
              <c:strCache>
                <c:ptCount val="1"/>
                <c:pt idx="0">
                  <c:v>£ millions</c:v>
                </c:pt>
              </c:strCache>
            </c:strRef>
          </c:cat>
          <c:val>
            <c:numRef>
              <c:f>Finance!$E$13</c:f>
              <c:numCache>
                <c:formatCode>_-* #,##0_-;\-* #,##0_-;_-* "-"??_-;_-@_-</c:formatCode>
                <c:ptCount val="1"/>
                <c:pt idx="0">
                  <c:v>81.076999999999998</c:v>
                </c:pt>
              </c:numCache>
            </c:numRef>
          </c:val>
          <c:extLst>
            <c:ext xmlns:c16="http://schemas.microsoft.com/office/drawing/2014/chart" uri="{C3380CC4-5D6E-409C-BE32-E72D297353CC}">
              <c16:uniqueId val="{00000000-DB5C-487F-A811-D858A6443323}"/>
            </c:ext>
          </c:extLst>
        </c:ser>
        <c:ser>
          <c:idx val="1"/>
          <c:order val="1"/>
          <c:tx>
            <c:strRef>
              <c:f>Finance!$D$14</c:f>
              <c:strCache>
                <c:ptCount val="1"/>
                <c:pt idx="0">
                  <c:v>Joint arrangements</c:v>
                </c:pt>
              </c:strCache>
            </c:strRef>
          </c:tx>
          <c:spPr>
            <a:solidFill>
              <a:srgbClr val="941C82"/>
            </a:solidFill>
            <a:ln w="19050">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Finance!$E$12</c:f>
              <c:strCache>
                <c:ptCount val="1"/>
                <c:pt idx="0">
                  <c:v>£ millions</c:v>
                </c:pt>
              </c:strCache>
            </c:strRef>
          </c:cat>
          <c:val>
            <c:numRef>
              <c:f>Finance!$E$14</c:f>
              <c:numCache>
                <c:formatCode>_-* #,##0_-;\-* #,##0_-;_-* "-"??_-;_-@_-</c:formatCode>
                <c:ptCount val="1"/>
                <c:pt idx="0">
                  <c:v>0</c:v>
                </c:pt>
              </c:numCache>
            </c:numRef>
          </c:val>
          <c:extLst>
            <c:ext xmlns:c16="http://schemas.microsoft.com/office/drawing/2014/chart" uri="{C3380CC4-5D6E-409C-BE32-E72D297353CC}">
              <c16:uniqueId val="{00000001-DB5C-487F-A811-D858A6443323}"/>
            </c:ext>
          </c:extLst>
        </c:ser>
        <c:ser>
          <c:idx val="2"/>
          <c:order val="2"/>
          <c:tx>
            <c:strRef>
              <c:f>Finance!$D$15</c:f>
              <c:strCache>
                <c:ptCount val="1"/>
                <c:pt idx="0">
                  <c:v>BCF</c:v>
                </c:pt>
              </c:strCache>
            </c:strRef>
          </c:tx>
          <c:spPr>
            <a:solidFill>
              <a:srgbClr val="94C21F"/>
            </a:solidFill>
            <a:ln w="19050">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Finance!$E$12</c:f>
              <c:strCache>
                <c:ptCount val="1"/>
                <c:pt idx="0">
                  <c:v>£ millions</c:v>
                </c:pt>
              </c:strCache>
            </c:strRef>
          </c:cat>
          <c:val>
            <c:numRef>
              <c:f>Finance!$E$15</c:f>
              <c:numCache>
                <c:formatCode>_-* #,##0_-;\-* #,##0_-;_-* "-"??_-;_-@_-</c:formatCode>
                <c:ptCount val="1"/>
                <c:pt idx="0">
                  <c:v>37.046999999999997</c:v>
                </c:pt>
              </c:numCache>
            </c:numRef>
          </c:val>
          <c:extLst>
            <c:ext xmlns:c16="http://schemas.microsoft.com/office/drawing/2014/chart" uri="{C3380CC4-5D6E-409C-BE32-E72D297353CC}">
              <c16:uniqueId val="{00000002-DB5C-487F-A811-D858A6443323}"/>
            </c:ext>
          </c:extLst>
        </c:ser>
        <c:ser>
          <c:idx val="3"/>
          <c:order val="3"/>
          <c:tx>
            <c:strRef>
              <c:f>Finance!$D$16</c:f>
              <c:strCache>
                <c:ptCount val="1"/>
                <c:pt idx="0">
                  <c:v>NHS Contributions - non-BCF</c:v>
                </c:pt>
              </c:strCache>
            </c:strRef>
          </c:tx>
          <c:spPr>
            <a:solidFill>
              <a:srgbClr val="A1A1A1"/>
            </a:solidFill>
            <a:ln w="19050">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Finance!$E$12</c:f>
              <c:strCache>
                <c:ptCount val="1"/>
                <c:pt idx="0">
                  <c:v>£ millions</c:v>
                </c:pt>
              </c:strCache>
            </c:strRef>
          </c:cat>
          <c:val>
            <c:numRef>
              <c:f>Finance!$E$16</c:f>
              <c:numCache>
                <c:formatCode>_-* #,##0_-;\-* #,##0_-;_-* "-"??_-;_-@_-</c:formatCode>
                <c:ptCount val="1"/>
                <c:pt idx="0">
                  <c:v>72.332999999999998</c:v>
                </c:pt>
              </c:numCache>
            </c:numRef>
          </c:val>
          <c:extLst>
            <c:ext xmlns:c16="http://schemas.microsoft.com/office/drawing/2014/chart" uri="{C3380CC4-5D6E-409C-BE32-E72D297353CC}">
              <c16:uniqueId val="{00000003-DB5C-487F-A811-D858A6443323}"/>
            </c:ext>
          </c:extLst>
        </c:ser>
        <c:ser>
          <c:idx val="4"/>
          <c:order val="4"/>
          <c:tx>
            <c:strRef>
              <c:f>Finance!$D$17</c:f>
              <c:strCache>
                <c:ptCount val="1"/>
                <c:pt idx="0">
                  <c:v>Other</c:v>
                </c:pt>
              </c:strCache>
            </c:strRef>
          </c:tx>
          <c:spPr>
            <a:solidFill>
              <a:srgbClr val="4AE8FC"/>
            </a:solidFill>
            <a:ln w="19050">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Finance!$E$12</c:f>
              <c:strCache>
                <c:ptCount val="1"/>
                <c:pt idx="0">
                  <c:v>£ millions</c:v>
                </c:pt>
              </c:strCache>
            </c:strRef>
          </c:cat>
          <c:val>
            <c:numRef>
              <c:f>Finance!$E$17</c:f>
              <c:numCache>
                <c:formatCode>_-* #,##0_-;\-* #,##0_-;_-* "-"??_-;_-@_-</c:formatCode>
                <c:ptCount val="1"/>
                <c:pt idx="0">
                  <c:v>2.4980000000000002</c:v>
                </c:pt>
              </c:numCache>
            </c:numRef>
          </c:val>
          <c:extLst>
            <c:ext xmlns:c16="http://schemas.microsoft.com/office/drawing/2014/chart" uri="{C3380CC4-5D6E-409C-BE32-E72D297353CC}">
              <c16:uniqueId val="{00000004-DB5C-487F-A811-D858A6443323}"/>
            </c:ext>
          </c:extLst>
        </c:ser>
        <c:dLbls>
          <c:dLblPos val="ctr"/>
          <c:showLegendKey val="0"/>
          <c:showVal val="1"/>
          <c:showCatName val="0"/>
          <c:showSerName val="0"/>
          <c:showPercent val="0"/>
          <c:showBubbleSize val="0"/>
        </c:dLbls>
        <c:gapWidth val="100"/>
        <c:overlap val="100"/>
        <c:axId val="1201526464"/>
        <c:axId val="1201525984"/>
      </c:barChart>
      <c:valAx>
        <c:axId val="1201525984"/>
        <c:scaling>
          <c:orientation val="minMax"/>
        </c:scaling>
        <c:delete val="0"/>
        <c:axPos val="l"/>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01526464"/>
        <c:crosses val="autoZero"/>
        <c:crossBetween val="between"/>
      </c:valAx>
      <c:catAx>
        <c:axId val="12015264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01525984"/>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Finance!$D$12</c:f>
          <c:strCache>
            <c:ptCount val="1"/>
            <c:pt idx="0">
              <c:v>Adult Social Care Income Breakdown - Norfolk</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7953034233823609"/>
          <c:y val="0.20206263963825247"/>
          <c:w val="0.43267404949148497"/>
          <c:h val="0.51306712028258827"/>
        </c:manualLayout>
      </c:layout>
      <c:pieChart>
        <c:varyColors val="1"/>
        <c:ser>
          <c:idx val="0"/>
          <c:order val="0"/>
          <c:tx>
            <c:strRef>
              <c:f>Finance!$F$12</c:f>
              <c:strCache>
                <c:ptCount val="1"/>
                <c:pt idx="0">
                  <c:v>%</c:v>
                </c:pt>
              </c:strCache>
            </c:strRef>
          </c:tx>
          <c:dPt>
            <c:idx val="0"/>
            <c:bubble3D val="0"/>
            <c:spPr>
              <a:solidFill>
                <a:srgbClr val="FF7A26"/>
              </a:solidFill>
              <a:ln w="19050">
                <a:solidFill>
                  <a:schemeClr val="lt1"/>
                </a:solidFill>
              </a:ln>
              <a:effectLst/>
            </c:spPr>
            <c:extLst>
              <c:ext xmlns:c16="http://schemas.microsoft.com/office/drawing/2014/chart" uri="{C3380CC4-5D6E-409C-BE32-E72D297353CC}">
                <c16:uniqueId val="{00000001-5259-4C6B-B4B6-6D5D1C9F8F53}"/>
              </c:ext>
            </c:extLst>
          </c:dPt>
          <c:dPt>
            <c:idx val="1"/>
            <c:bubble3D val="0"/>
            <c:spPr>
              <a:solidFill>
                <a:srgbClr val="941C82"/>
              </a:solidFill>
              <a:ln w="19050">
                <a:solidFill>
                  <a:schemeClr val="lt1"/>
                </a:solidFill>
              </a:ln>
              <a:effectLst/>
            </c:spPr>
            <c:extLst>
              <c:ext xmlns:c16="http://schemas.microsoft.com/office/drawing/2014/chart" uri="{C3380CC4-5D6E-409C-BE32-E72D297353CC}">
                <c16:uniqueId val="{00000003-5259-4C6B-B4B6-6D5D1C9F8F53}"/>
              </c:ext>
            </c:extLst>
          </c:dPt>
          <c:dPt>
            <c:idx val="2"/>
            <c:bubble3D val="0"/>
            <c:spPr>
              <a:solidFill>
                <a:srgbClr val="94C21F"/>
              </a:solidFill>
              <a:ln w="19050">
                <a:solidFill>
                  <a:schemeClr val="lt1"/>
                </a:solidFill>
              </a:ln>
              <a:effectLst/>
            </c:spPr>
            <c:extLst>
              <c:ext xmlns:c16="http://schemas.microsoft.com/office/drawing/2014/chart" uri="{C3380CC4-5D6E-409C-BE32-E72D297353CC}">
                <c16:uniqueId val="{00000005-5259-4C6B-B4B6-6D5D1C9F8F53}"/>
              </c:ext>
            </c:extLst>
          </c:dPt>
          <c:dPt>
            <c:idx val="3"/>
            <c:bubble3D val="0"/>
            <c:spPr>
              <a:solidFill>
                <a:srgbClr val="A1A1A1"/>
              </a:solidFill>
              <a:ln w="19050">
                <a:solidFill>
                  <a:schemeClr val="lt1"/>
                </a:solidFill>
              </a:ln>
              <a:effectLst/>
            </c:spPr>
            <c:extLst>
              <c:ext xmlns:c16="http://schemas.microsoft.com/office/drawing/2014/chart" uri="{C3380CC4-5D6E-409C-BE32-E72D297353CC}">
                <c16:uniqueId val="{00000007-5259-4C6B-B4B6-6D5D1C9F8F53}"/>
              </c:ext>
            </c:extLst>
          </c:dPt>
          <c:dPt>
            <c:idx val="4"/>
            <c:bubble3D val="0"/>
            <c:spPr>
              <a:solidFill>
                <a:srgbClr val="4AE8FC"/>
              </a:solidFill>
              <a:ln w="19050">
                <a:solidFill>
                  <a:schemeClr val="lt1"/>
                </a:solidFill>
              </a:ln>
              <a:effectLst/>
            </c:spPr>
            <c:extLst>
              <c:ext xmlns:c16="http://schemas.microsoft.com/office/drawing/2014/chart" uri="{C3380CC4-5D6E-409C-BE32-E72D297353CC}">
                <c16:uniqueId val="{00000009-5259-4C6B-B4B6-6D5D1C9F8F53}"/>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Finance!$D$13:$D$17</c:f>
              <c:strCache>
                <c:ptCount val="5"/>
                <c:pt idx="0">
                  <c:v>Client contributions</c:v>
                </c:pt>
                <c:pt idx="1">
                  <c:v>Joint arrangements</c:v>
                </c:pt>
                <c:pt idx="2">
                  <c:v>BCF</c:v>
                </c:pt>
                <c:pt idx="3">
                  <c:v>NHS Contributions - non-BCF</c:v>
                </c:pt>
                <c:pt idx="4">
                  <c:v>Other</c:v>
                </c:pt>
              </c:strCache>
            </c:strRef>
          </c:cat>
          <c:val>
            <c:numRef>
              <c:f>Finance!$F$13:$F$17</c:f>
              <c:numCache>
                <c:formatCode>0%</c:formatCode>
                <c:ptCount val="5"/>
                <c:pt idx="0">
                  <c:v>0.42018605374310075</c:v>
                </c:pt>
                <c:pt idx="1">
                  <c:v>0</c:v>
                </c:pt>
                <c:pt idx="2">
                  <c:v>0.19199813428001347</c:v>
                </c:pt>
                <c:pt idx="3">
                  <c:v>0.37486978829260709</c:v>
                </c:pt>
                <c:pt idx="4">
                  <c:v>1.294602368427872E-2</c:v>
                </c:pt>
              </c:numCache>
            </c:numRef>
          </c:val>
          <c:extLst>
            <c:ext xmlns:c16="http://schemas.microsoft.com/office/drawing/2014/chart" uri="{C3380CC4-5D6E-409C-BE32-E72D297353CC}">
              <c16:uniqueId val="{0000000A-5259-4C6B-B4B6-6D5D1C9F8F53}"/>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2.2356055674166382E-2"/>
          <c:y val="0.75476214667310504"/>
          <c:w val="0.97301031024261619"/>
          <c:h val="0.1419216507776962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10.png"/><Relationship Id="rId18" Type="http://schemas.openxmlformats.org/officeDocument/2006/relationships/image" Target="../media/image14.png"/><Relationship Id="rId26" Type="http://schemas.openxmlformats.org/officeDocument/2006/relationships/image" Target="../media/image20.png"/><Relationship Id="rId3" Type="http://schemas.openxmlformats.org/officeDocument/2006/relationships/image" Target="../media/image3.png"/><Relationship Id="rId21" Type="http://schemas.openxmlformats.org/officeDocument/2006/relationships/chart" Target="../charts/chart8.xml"/><Relationship Id="rId7" Type="http://schemas.openxmlformats.org/officeDocument/2006/relationships/chart" Target="../charts/chart3.xml"/><Relationship Id="rId12" Type="http://schemas.openxmlformats.org/officeDocument/2006/relationships/image" Target="../media/image9.png"/><Relationship Id="rId17" Type="http://schemas.openxmlformats.org/officeDocument/2006/relationships/chart" Target="../charts/chart6.xml"/><Relationship Id="rId25" Type="http://schemas.openxmlformats.org/officeDocument/2006/relationships/image" Target="../media/image19.png"/><Relationship Id="rId2" Type="http://schemas.openxmlformats.org/officeDocument/2006/relationships/image" Target="../media/image2.png"/><Relationship Id="rId16" Type="http://schemas.openxmlformats.org/officeDocument/2006/relationships/chart" Target="../charts/chart5.xml"/><Relationship Id="rId20" Type="http://schemas.openxmlformats.org/officeDocument/2006/relationships/chart" Target="../charts/chart7.xml"/><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8.png"/><Relationship Id="rId24" Type="http://schemas.openxmlformats.org/officeDocument/2006/relationships/image" Target="../media/image18.png"/><Relationship Id="rId5" Type="http://schemas.openxmlformats.org/officeDocument/2006/relationships/chart" Target="../charts/chart2.xml"/><Relationship Id="rId15" Type="http://schemas.openxmlformats.org/officeDocument/2006/relationships/chart" Target="../charts/chart4.xml"/><Relationship Id="rId23" Type="http://schemas.openxmlformats.org/officeDocument/2006/relationships/image" Target="../media/image17.png"/><Relationship Id="rId10" Type="http://schemas.openxmlformats.org/officeDocument/2006/relationships/image" Target="../media/image7.png"/><Relationship Id="rId19" Type="http://schemas.openxmlformats.org/officeDocument/2006/relationships/image" Target="../media/image15.png"/><Relationship Id="rId4" Type="http://schemas.openxmlformats.org/officeDocument/2006/relationships/chart" Target="../charts/chart1.xml"/><Relationship Id="rId9" Type="http://schemas.openxmlformats.org/officeDocument/2006/relationships/image" Target="../media/image6.png"/><Relationship Id="rId14" Type="http://schemas.openxmlformats.org/officeDocument/2006/relationships/image" Target="../media/image11.png"/><Relationship Id="rId22" Type="http://schemas.openxmlformats.org/officeDocument/2006/relationships/image" Target="../media/image16.png"/><Relationship Id="rId27" Type="http://schemas.openxmlformats.org/officeDocument/2006/relationships/image" Target="../media/image21.png"/></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23.png"/><Relationship Id="rId7" Type="http://schemas.openxmlformats.org/officeDocument/2006/relationships/image" Target="../media/image5.png"/><Relationship Id="rId2" Type="http://schemas.openxmlformats.org/officeDocument/2006/relationships/image" Target="../media/image22.png"/><Relationship Id="rId1" Type="http://schemas.openxmlformats.org/officeDocument/2006/relationships/image" Target="../media/image2.png"/><Relationship Id="rId6" Type="http://schemas.openxmlformats.org/officeDocument/2006/relationships/image" Target="../media/image8.png"/><Relationship Id="rId5" Type="http://schemas.openxmlformats.org/officeDocument/2006/relationships/image" Target="../media/image25.png"/><Relationship Id="rId10" Type="http://schemas.openxmlformats.org/officeDocument/2006/relationships/image" Target="../media/image7.png"/><Relationship Id="rId4" Type="http://schemas.openxmlformats.org/officeDocument/2006/relationships/image" Target="../media/image24.png"/><Relationship Id="rId9"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7.svg"/><Relationship Id="rId1"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xdr:from>
      <xdr:col>15</xdr:col>
      <xdr:colOff>227733</xdr:colOff>
      <xdr:row>63</xdr:row>
      <xdr:rowOff>144318</xdr:rowOff>
    </xdr:from>
    <xdr:to>
      <xdr:col>18</xdr:col>
      <xdr:colOff>487505</xdr:colOff>
      <xdr:row>74</xdr:row>
      <xdr:rowOff>81684</xdr:rowOff>
    </xdr:to>
    <xdr:sp macro="" textlink="">
      <xdr:nvSpPr>
        <xdr:cNvPr id="16" name="Oval 4">
          <a:extLst>
            <a:ext uri="{FF2B5EF4-FFF2-40B4-BE49-F238E27FC236}">
              <a16:creationId xmlns:a16="http://schemas.microsoft.com/office/drawing/2014/main" id="{830546CB-E79F-43B2-9A4C-4F27B13F6D1B}"/>
            </a:ext>
          </a:extLst>
        </xdr:cNvPr>
        <xdr:cNvSpPr/>
      </xdr:nvSpPr>
      <xdr:spPr>
        <a:xfrm>
          <a:off x="9319778" y="11963977"/>
          <a:ext cx="2078182" cy="2001116"/>
        </a:xfrm>
        <a:prstGeom prst="ellipse">
          <a:avLst/>
        </a:prstGeom>
        <a:solidFill>
          <a:srgbClr val="339EA8"/>
        </a:solidFill>
        <a:ln>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000">
            <a:highlight>
              <a:srgbClr val="FFFF00"/>
            </a:highlight>
            <a:latin typeface="Arial" panose="020B0604020202020204" pitchFamily="34" charset="0"/>
            <a:cs typeface="Arial" panose="020B0604020202020204" pitchFamily="34" charset="0"/>
          </a:endParaRPr>
        </a:p>
      </xdr:txBody>
    </xdr:sp>
    <xdr:clientData/>
  </xdr:twoCellAnchor>
  <xdr:twoCellAnchor editAs="oneCell">
    <xdr:from>
      <xdr:col>0</xdr:col>
      <xdr:colOff>101150</xdr:colOff>
      <xdr:row>4</xdr:row>
      <xdr:rowOff>33716</xdr:rowOff>
    </xdr:from>
    <xdr:to>
      <xdr:col>0</xdr:col>
      <xdr:colOff>581948</xdr:colOff>
      <xdr:row>6</xdr:row>
      <xdr:rowOff>142931</xdr:rowOff>
    </xdr:to>
    <xdr:pic>
      <xdr:nvPicPr>
        <xdr:cNvPr id="2" name="Picture 1">
          <a:extLst>
            <a:ext uri="{FF2B5EF4-FFF2-40B4-BE49-F238E27FC236}">
              <a16:creationId xmlns:a16="http://schemas.microsoft.com/office/drawing/2014/main" id="{42F957DD-8FB1-4266-AF2B-2CA2F0FFD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150" y="775486"/>
          <a:ext cx="477623" cy="483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297833</xdr:colOff>
      <xdr:row>3</xdr:row>
      <xdr:rowOff>179076</xdr:rowOff>
    </xdr:from>
    <xdr:to>
      <xdr:col>4</xdr:col>
      <xdr:colOff>502578</xdr:colOff>
      <xdr:row>5</xdr:row>
      <xdr:rowOff>17387</xdr:rowOff>
    </xdr:to>
    <xdr:pic>
      <xdr:nvPicPr>
        <xdr:cNvPr id="3" name="Picture 2" descr="A black background with a black square">
          <a:extLst>
            <a:ext uri="{FF2B5EF4-FFF2-40B4-BE49-F238E27FC236}">
              <a16:creationId xmlns:a16="http://schemas.microsoft.com/office/drawing/2014/main" id="{B3F7439F-64AB-48EB-B624-05F34D4FDD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25444" y="735403"/>
          <a:ext cx="207920" cy="209196"/>
        </a:xfrm>
        <a:prstGeom prst="rect">
          <a:avLst/>
        </a:prstGeom>
      </xdr:spPr>
    </xdr:pic>
    <xdr:clientData/>
  </xdr:twoCellAnchor>
  <xdr:twoCellAnchor editAs="oneCell">
    <xdr:from>
      <xdr:col>4</xdr:col>
      <xdr:colOff>292212</xdr:colOff>
      <xdr:row>5</xdr:row>
      <xdr:rowOff>140487</xdr:rowOff>
    </xdr:from>
    <xdr:to>
      <xdr:col>4</xdr:col>
      <xdr:colOff>525741</xdr:colOff>
      <xdr:row>7</xdr:row>
      <xdr:rowOff>7409</xdr:rowOff>
    </xdr:to>
    <xdr:pic>
      <xdr:nvPicPr>
        <xdr:cNvPr id="4" name="Picture 3">
          <a:extLst>
            <a:ext uri="{FF2B5EF4-FFF2-40B4-BE49-F238E27FC236}">
              <a16:creationId xmlns:a16="http://schemas.microsoft.com/office/drawing/2014/main" id="{160509E0-27FB-4E24-95DF-559BB38A9364}"/>
            </a:ext>
          </a:extLst>
        </xdr:cNvPr>
        <xdr:cNvPicPr>
          <a:picLocks noChangeAspect="1"/>
        </xdr:cNvPicPr>
      </xdr:nvPicPr>
      <xdr:blipFill>
        <a:blip xmlns:r="http://schemas.openxmlformats.org/officeDocument/2006/relationships" r:embed="rId3" cstate="print">
          <a:biLevel thresh="75000"/>
          <a:extLst>
            <a:ext uri="{28A0092B-C50C-407E-A947-70E740481C1C}">
              <a14:useLocalDpi xmlns:a14="http://schemas.microsoft.com/office/drawing/2010/main" val="0"/>
            </a:ext>
          </a:extLst>
        </a:blip>
        <a:stretch>
          <a:fillRect/>
        </a:stretch>
      </xdr:blipFill>
      <xdr:spPr>
        <a:xfrm>
          <a:off x="2719823" y="1067699"/>
          <a:ext cx="230354" cy="234632"/>
        </a:xfrm>
        <a:prstGeom prst="rect">
          <a:avLst/>
        </a:prstGeom>
      </xdr:spPr>
    </xdr:pic>
    <xdr:clientData/>
  </xdr:twoCellAnchor>
  <xdr:twoCellAnchor>
    <xdr:from>
      <xdr:col>4</xdr:col>
      <xdr:colOff>170366</xdr:colOff>
      <xdr:row>7</xdr:row>
      <xdr:rowOff>56445</xdr:rowOff>
    </xdr:from>
    <xdr:to>
      <xdr:col>9</xdr:col>
      <xdr:colOff>487865</xdr:colOff>
      <xdr:row>16</xdr:row>
      <xdr:rowOff>56445</xdr:rowOff>
    </xdr:to>
    <xdr:graphicFrame macro="">
      <xdr:nvGraphicFramePr>
        <xdr:cNvPr id="532" name="Chart 6">
          <a:extLst>
            <a:ext uri="{FF2B5EF4-FFF2-40B4-BE49-F238E27FC236}">
              <a16:creationId xmlns:a16="http://schemas.microsoft.com/office/drawing/2014/main" id="{BEF646FA-CADB-EE82-BC71-0A80744AB1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183445</xdr:colOff>
      <xdr:row>16</xdr:row>
      <xdr:rowOff>28222</xdr:rowOff>
    </xdr:from>
    <xdr:to>
      <xdr:col>5</xdr:col>
      <xdr:colOff>187533</xdr:colOff>
      <xdr:row>27</xdr:row>
      <xdr:rowOff>147127</xdr:rowOff>
    </xdr:to>
    <xdr:graphicFrame macro="">
      <xdr:nvGraphicFramePr>
        <xdr:cNvPr id="674" name="Chart 4">
          <a:extLst>
            <a:ext uri="{FF2B5EF4-FFF2-40B4-BE49-F238E27FC236}">
              <a16:creationId xmlns:a16="http://schemas.microsoft.com/office/drawing/2014/main" id="{A84DE472-AA3B-5794-1457-45522C09C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131589</xdr:colOff>
      <xdr:row>2</xdr:row>
      <xdr:rowOff>49916</xdr:rowOff>
    </xdr:from>
    <xdr:to>
      <xdr:col>16</xdr:col>
      <xdr:colOff>59872</xdr:colOff>
      <xdr:row>5</xdr:row>
      <xdr:rowOff>11257</xdr:rowOff>
    </xdr:to>
    <xdr:grpSp>
      <xdr:nvGrpSpPr>
        <xdr:cNvPr id="94" name="Group 53">
          <a:extLst>
            <a:ext uri="{FF2B5EF4-FFF2-40B4-BE49-F238E27FC236}">
              <a16:creationId xmlns:a16="http://schemas.microsoft.com/office/drawing/2014/main" id="{19532EC4-ED67-D62C-B369-79BCF0C1F750}"/>
            </a:ext>
          </a:extLst>
        </xdr:cNvPr>
        <xdr:cNvGrpSpPr/>
      </xdr:nvGrpSpPr>
      <xdr:grpSpPr>
        <a:xfrm>
          <a:off x="6269922" y="406574"/>
          <a:ext cx="3611283" cy="501091"/>
          <a:chOff x="773295" y="1715351"/>
          <a:chExt cx="3542904" cy="823486"/>
        </a:xfrm>
      </xdr:grpSpPr>
      <xdr:sp macro="" textlink="">
        <xdr:nvSpPr>
          <xdr:cNvPr id="95" name="Rectangle: Rounded Corners 54">
            <a:extLst>
              <a:ext uri="{FF2B5EF4-FFF2-40B4-BE49-F238E27FC236}">
                <a16:creationId xmlns:a16="http://schemas.microsoft.com/office/drawing/2014/main" id="{BB9216EA-A416-AC7E-2894-4F08B3F3793A}"/>
              </a:ext>
            </a:extLst>
          </xdr:cNvPr>
          <xdr:cNvSpPr/>
        </xdr:nvSpPr>
        <xdr:spPr>
          <a:xfrm>
            <a:off x="773295" y="1738842"/>
            <a:ext cx="3542904" cy="799995"/>
          </a:xfrm>
          <a:prstGeom prst="roundRect">
            <a:avLst/>
          </a:prstGeom>
          <a:solidFill>
            <a:srgbClr val="6E003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sp macro="" textlink="">
        <xdr:nvSpPr>
          <xdr:cNvPr id="96" name="TextBox 24">
            <a:extLst>
              <a:ext uri="{FF2B5EF4-FFF2-40B4-BE49-F238E27FC236}">
                <a16:creationId xmlns:a16="http://schemas.microsoft.com/office/drawing/2014/main" id="{9CE7F744-AEBE-2C61-A3C6-539F3454A690}"/>
              </a:ext>
            </a:extLst>
          </xdr:cNvPr>
          <xdr:cNvSpPr txBox="1"/>
        </xdr:nvSpPr>
        <xdr:spPr>
          <a:xfrm>
            <a:off x="853344" y="1715351"/>
            <a:ext cx="3333925" cy="701297"/>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sz="1200" b="1">
                <a:solidFill>
                  <a:schemeClr val="bg1"/>
                </a:solidFill>
                <a:effectLst/>
                <a:latin typeface="Arial" panose="020B0604020202020204" pitchFamily="34" charset="0"/>
                <a:ea typeface="Times New Roman" panose="02020603050405020304" pitchFamily="18" charset="0"/>
                <a:cs typeface="Arial" panose="020B0604020202020204" pitchFamily="34" charset="0"/>
              </a:rPr>
              <a:t>Adult social care employees in the independent and local authority sectors</a:t>
            </a:r>
            <a:endParaRPr lang="en-GB" sz="1200">
              <a:solidFill>
                <a:schemeClr val="bg1"/>
              </a:solidFill>
              <a:effectLst/>
              <a:latin typeface="Arial" panose="020B0604020202020204" pitchFamily="34" charset="0"/>
              <a:ea typeface="Times New Roman" panose="02020603050405020304" pitchFamily="18" charset="0"/>
              <a:cs typeface="Arial" panose="020B0604020202020204" pitchFamily="34" charset="0"/>
            </a:endParaRPr>
          </a:p>
        </xdr:txBody>
      </xdr:sp>
    </xdr:grpSp>
    <xdr:clientData/>
  </xdr:twoCellAnchor>
  <xdr:twoCellAnchor>
    <xdr:from>
      <xdr:col>16</xdr:col>
      <xdr:colOff>378143</xdr:colOff>
      <xdr:row>2</xdr:row>
      <xdr:rowOff>117763</xdr:rowOff>
    </xdr:from>
    <xdr:to>
      <xdr:col>19</xdr:col>
      <xdr:colOff>332220</xdr:colOff>
      <xdr:row>11</xdr:row>
      <xdr:rowOff>98713</xdr:rowOff>
    </xdr:to>
    <xdr:sp macro="" textlink="">
      <xdr:nvSpPr>
        <xdr:cNvPr id="326" name="Oval 57">
          <a:extLst>
            <a:ext uri="{FF2B5EF4-FFF2-40B4-BE49-F238E27FC236}">
              <a16:creationId xmlns:a16="http://schemas.microsoft.com/office/drawing/2014/main" id="{2C730DED-4026-F53A-CAD1-91EBE180B3D8}"/>
            </a:ext>
          </a:extLst>
        </xdr:cNvPr>
        <xdr:cNvSpPr/>
      </xdr:nvSpPr>
      <xdr:spPr>
        <a:xfrm>
          <a:off x="10076325" y="492990"/>
          <a:ext cx="1772486" cy="1669473"/>
        </a:xfrm>
        <a:prstGeom prst="ellipse">
          <a:avLst/>
        </a:prstGeom>
        <a:solidFill>
          <a:srgbClr val="339EA8"/>
        </a:solidFill>
        <a:ln>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000">
            <a:highlight>
              <a:srgbClr val="FFFF00"/>
            </a:highlight>
            <a:latin typeface="Arial" panose="020B0604020202020204" pitchFamily="34" charset="0"/>
            <a:cs typeface="Arial" panose="020B0604020202020204" pitchFamily="34" charset="0"/>
          </a:endParaRPr>
        </a:p>
      </xdr:txBody>
    </xdr:sp>
    <xdr:clientData/>
  </xdr:twoCellAnchor>
  <xdr:twoCellAnchor>
    <xdr:from>
      <xdr:col>16</xdr:col>
      <xdr:colOff>374223</xdr:colOff>
      <xdr:row>4</xdr:row>
      <xdr:rowOff>52296</xdr:rowOff>
    </xdr:from>
    <xdr:to>
      <xdr:col>19</xdr:col>
      <xdr:colOff>349907</xdr:colOff>
      <xdr:row>10</xdr:row>
      <xdr:rowOff>109036</xdr:rowOff>
    </xdr:to>
    <xdr:sp macro="" textlink="">
      <xdr:nvSpPr>
        <xdr:cNvPr id="389" name="TextBox 64">
          <a:extLst>
            <a:ext uri="{FF2B5EF4-FFF2-40B4-BE49-F238E27FC236}">
              <a16:creationId xmlns:a16="http://schemas.microsoft.com/office/drawing/2014/main" id="{EF32B3CB-E681-1312-6934-7DD92973CA8F}"/>
            </a:ext>
          </a:extLst>
        </xdr:cNvPr>
        <xdr:cNvSpPr txBox="1"/>
      </xdr:nvSpPr>
      <xdr:spPr>
        <a:xfrm>
          <a:off x="10072405" y="802751"/>
          <a:ext cx="1794093" cy="1182421"/>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sz="1100">
              <a:solidFill>
                <a:schemeClr val="bg1"/>
              </a:solidFill>
              <a:latin typeface="Arial" panose="020B0604020202020204" pitchFamily="34" charset="0"/>
              <a:cs typeface="Arial" panose="020B0604020202020204" pitchFamily="34" charset="0"/>
            </a:rPr>
            <a:t>Adult social care contributed an estimated</a:t>
          </a:r>
        </a:p>
        <a:p>
          <a:pPr algn="ctr"/>
          <a:r>
            <a:rPr lang="en-GB" sz="1600" b="1">
              <a:solidFill>
                <a:schemeClr val="bg1"/>
              </a:solidFill>
              <a:latin typeface="Arial" panose="020B0604020202020204" pitchFamily="34" charset="0"/>
              <a:cs typeface="Arial" panose="020B0604020202020204" pitchFamily="34" charset="0"/>
            </a:rPr>
            <a:t>£77.8 billion </a:t>
          </a:r>
        </a:p>
        <a:p>
          <a:pPr algn="ctr"/>
          <a:r>
            <a:rPr lang="en-GB" sz="1100">
              <a:solidFill>
                <a:schemeClr val="bg1"/>
              </a:solidFill>
              <a:latin typeface="Arial" panose="020B0604020202020204" pitchFamily="34" charset="0"/>
              <a:cs typeface="Arial" panose="020B0604020202020204" pitchFamily="34" charset="0"/>
            </a:rPr>
            <a:t>to the economy in England </a:t>
          </a:r>
        </a:p>
        <a:p>
          <a:pPr algn="ctr"/>
          <a:r>
            <a:rPr lang="en-GB" sz="1100">
              <a:solidFill>
                <a:schemeClr val="bg1"/>
              </a:solidFill>
              <a:latin typeface="Arial" panose="020B0604020202020204" pitchFamily="34" charset="0"/>
              <a:cs typeface="Arial" panose="020B0604020202020204" pitchFamily="34" charset="0"/>
            </a:rPr>
            <a:t>in 2024/25 </a:t>
          </a:r>
        </a:p>
      </xdr:txBody>
    </xdr:sp>
    <xdr:clientData/>
  </xdr:twoCellAnchor>
  <xdr:twoCellAnchor>
    <xdr:from>
      <xdr:col>11</xdr:col>
      <xdr:colOff>13708</xdr:colOff>
      <xdr:row>9</xdr:row>
      <xdr:rowOff>86589</xdr:rowOff>
    </xdr:from>
    <xdr:to>
      <xdr:col>12</xdr:col>
      <xdr:colOff>603251</xdr:colOff>
      <xdr:row>14</xdr:row>
      <xdr:rowOff>116032</xdr:rowOff>
    </xdr:to>
    <xdr:sp macro="" textlink="">
      <xdr:nvSpPr>
        <xdr:cNvPr id="82" name="Rectangle: Rounded Corners 88">
          <a:extLst>
            <a:ext uri="{FF2B5EF4-FFF2-40B4-BE49-F238E27FC236}">
              <a16:creationId xmlns:a16="http://schemas.microsoft.com/office/drawing/2014/main" id="{C9E0AAC8-8B95-4BB5-8E17-419BD20A3C65}"/>
            </a:ext>
          </a:extLst>
        </xdr:cNvPr>
        <xdr:cNvSpPr/>
      </xdr:nvSpPr>
      <xdr:spPr>
        <a:xfrm>
          <a:off x="6681208" y="1775112"/>
          <a:ext cx="1195679" cy="967511"/>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atin typeface="Arial" panose="020B0604020202020204" pitchFamily="34" charset="0"/>
            <a:cs typeface="Arial" panose="020B0604020202020204" pitchFamily="34" charset="0"/>
          </a:endParaRPr>
        </a:p>
      </xdr:txBody>
    </xdr:sp>
    <xdr:clientData/>
  </xdr:twoCellAnchor>
  <xdr:oneCellAnchor>
    <xdr:from>
      <xdr:col>10</xdr:col>
      <xdr:colOff>65435</xdr:colOff>
      <xdr:row>11</xdr:row>
      <xdr:rowOff>10581</xdr:rowOff>
    </xdr:from>
    <xdr:ext cx="514175" cy="550900"/>
    <xdr:pic>
      <xdr:nvPicPr>
        <xdr:cNvPr id="386" name="Picture 89">
          <a:extLst>
            <a:ext uri="{FF2B5EF4-FFF2-40B4-BE49-F238E27FC236}">
              <a16:creationId xmlns:a16="http://schemas.microsoft.com/office/drawing/2014/main" id="{D0AABA83-A450-43FB-BCF8-BD1550D92CA1}"/>
            </a:ext>
          </a:extLst>
        </xdr:cNvPr>
        <xdr:cNvPicPr>
          <a:picLocks noChangeAspect="1"/>
        </xdr:cNvPicPr>
      </xdr:nvPicPr>
      <xdr:blipFill>
        <a:blip xmlns:r="http://schemas.openxmlformats.org/officeDocument/2006/relationships" r:embed="rId6" cstate="print">
          <a:biLevel thresh="75000"/>
          <a:extLst>
            <a:ext uri="{28A0092B-C50C-407E-A947-70E740481C1C}">
              <a14:useLocalDpi xmlns:a14="http://schemas.microsoft.com/office/drawing/2010/main" val="0"/>
            </a:ext>
          </a:extLst>
        </a:blip>
        <a:stretch>
          <a:fillRect/>
        </a:stretch>
      </xdr:blipFill>
      <xdr:spPr>
        <a:xfrm>
          <a:off x="6126799" y="2074331"/>
          <a:ext cx="514175" cy="550900"/>
        </a:xfrm>
        <a:prstGeom prst="rect">
          <a:avLst/>
        </a:prstGeom>
      </xdr:spPr>
    </xdr:pic>
    <xdr:clientData/>
  </xdr:oneCellAnchor>
  <xdr:twoCellAnchor>
    <xdr:from>
      <xdr:col>10</xdr:col>
      <xdr:colOff>183284</xdr:colOff>
      <xdr:row>15</xdr:row>
      <xdr:rowOff>10102</xdr:rowOff>
    </xdr:from>
    <xdr:to>
      <xdr:col>15</xdr:col>
      <xdr:colOff>513484</xdr:colOff>
      <xdr:row>29</xdr:row>
      <xdr:rowOff>121517</xdr:rowOff>
    </xdr:to>
    <xdr:graphicFrame macro="">
      <xdr:nvGraphicFramePr>
        <xdr:cNvPr id="10" name="Chart 9">
          <a:extLst>
            <a:ext uri="{FF2B5EF4-FFF2-40B4-BE49-F238E27FC236}">
              <a16:creationId xmlns:a16="http://schemas.microsoft.com/office/drawing/2014/main" id="{02DAC2A2-05C2-4E45-A6F6-42FF0050A3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38100</xdr:colOff>
      <xdr:row>3</xdr:row>
      <xdr:rowOff>66675</xdr:rowOff>
    </xdr:from>
    <xdr:to>
      <xdr:col>4</xdr:col>
      <xdr:colOff>76200</xdr:colOff>
      <xdr:row>8</xdr:row>
      <xdr:rowOff>95250</xdr:rowOff>
    </xdr:to>
    <xdr:sp macro="" textlink="Need!B11">
      <xdr:nvSpPr>
        <xdr:cNvPr id="5" name="Rectangle: Rounded Corners 54">
          <a:extLst>
            <a:ext uri="{FF2B5EF4-FFF2-40B4-BE49-F238E27FC236}">
              <a16:creationId xmlns:a16="http://schemas.microsoft.com/office/drawing/2014/main" id="{4A8296F3-0C3A-B884-7138-1DABDDEBFC1D}"/>
            </a:ext>
            <a:ext uri="{147F2762-F138-4A5C-976F-8EAC2B608ADB}">
              <a16:predDERef xmlns:a16="http://schemas.microsoft.com/office/drawing/2014/main" pred="{02DAC2A2-05C2-4E45-A6F6-42FF0050A335}"/>
            </a:ext>
          </a:extLst>
        </xdr:cNvPr>
        <xdr:cNvSpPr/>
      </xdr:nvSpPr>
      <xdr:spPr>
        <a:xfrm>
          <a:off x="619125" y="600075"/>
          <a:ext cx="1781175" cy="914400"/>
        </a:xfrm>
        <a:prstGeom prst="roundRect">
          <a:avLst/>
        </a:prstGeom>
        <a:solidFill>
          <a:srgbClr val="6E003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fld id="{68D713A9-238C-47EF-874D-F1033B5FA365}" type="TxLink">
            <a:rPr lang="en-US" sz="1400" b="0" i="0" u="none" strike="noStrike">
              <a:solidFill>
                <a:schemeClr val="bg1"/>
              </a:solidFill>
              <a:latin typeface="Arial" panose="020B0604020202020204" pitchFamily="34" charset="0"/>
              <a:cs typeface="Arial" panose="020B0604020202020204" pitchFamily="34" charset="0"/>
            </a:rPr>
            <a:pPr algn="ctr"/>
            <a:t>As of 2025, there are around 776,000 adults in Norfolk</a:t>
          </a:fld>
          <a:endParaRPr lang="en-GB" sz="1050">
            <a:solidFill>
              <a:schemeClr val="bg1"/>
            </a:solidFill>
            <a:highlight>
              <a:srgbClr val="FFFF00"/>
            </a:highlight>
            <a:latin typeface="Arial" panose="020B0604020202020204" pitchFamily="34" charset="0"/>
            <a:cs typeface="Arial" panose="020B0604020202020204" pitchFamily="34" charset="0"/>
          </a:endParaRPr>
        </a:p>
      </xdr:txBody>
    </xdr:sp>
    <xdr:clientData/>
  </xdr:twoCellAnchor>
  <xdr:twoCellAnchor>
    <xdr:from>
      <xdr:col>0</xdr:col>
      <xdr:colOff>340982</xdr:colOff>
      <xdr:row>32</xdr:row>
      <xdr:rowOff>151523</xdr:rowOff>
    </xdr:from>
    <xdr:to>
      <xdr:col>2</xdr:col>
      <xdr:colOff>485638</xdr:colOff>
      <xdr:row>38</xdr:row>
      <xdr:rowOff>167219</xdr:rowOff>
    </xdr:to>
    <xdr:sp macro="" textlink="">
      <xdr:nvSpPr>
        <xdr:cNvPr id="522" name="Hexagon 119">
          <a:extLst>
            <a:ext uri="{FF2B5EF4-FFF2-40B4-BE49-F238E27FC236}">
              <a16:creationId xmlns:a16="http://schemas.microsoft.com/office/drawing/2014/main" id="{165E8327-8385-4CEC-97BD-9D0367D23F64}"/>
            </a:ext>
          </a:extLst>
        </xdr:cNvPr>
        <xdr:cNvSpPr/>
      </xdr:nvSpPr>
      <xdr:spPr>
        <a:xfrm>
          <a:off x="340982" y="6021745"/>
          <a:ext cx="1358212" cy="1116363"/>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2</xdr:col>
      <xdr:colOff>277681</xdr:colOff>
      <xdr:row>36</xdr:row>
      <xdr:rowOff>72097</xdr:rowOff>
    </xdr:from>
    <xdr:to>
      <xdr:col>4</xdr:col>
      <xdr:colOff>422339</xdr:colOff>
      <xdr:row>42</xdr:row>
      <xdr:rowOff>87794</xdr:rowOff>
    </xdr:to>
    <xdr:sp macro="" textlink="">
      <xdr:nvSpPr>
        <xdr:cNvPr id="523" name="Hexagon 119">
          <a:extLst>
            <a:ext uri="{FF2B5EF4-FFF2-40B4-BE49-F238E27FC236}">
              <a16:creationId xmlns:a16="http://schemas.microsoft.com/office/drawing/2014/main" id="{05FBC825-2343-43C8-AFD8-D623F74183D4}"/>
            </a:ext>
          </a:extLst>
        </xdr:cNvPr>
        <xdr:cNvSpPr/>
      </xdr:nvSpPr>
      <xdr:spPr>
        <a:xfrm>
          <a:off x="1491237" y="6676097"/>
          <a:ext cx="1358213" cy="1116364"/>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0</xdr:col>
      <xdr:colOff>320017</xdr:colOff>
      <xdr:row>39</xdr:row>
      <xdr:rowOff>104350</xdr:rowOff>
    </xdr:from>
    <xdr:to>
      <xdr:col>2</xdr:col>
      <xdr:colOff>464674</xdr:colOff>
      <xdr:row>45</xdr:row>
      <xdr:rowOff>120048</xdr:rowOff>
    </xdr:to>
    <xdr:sp macro="" textlink="">
      <xdr:nvSpPr>
        <xdr:cNvPr id="524" name="Hexagon 119">
          <a:extLst>
            <a:ext uri="{FF2B5EF4-FFF2-40B4-BE49-F238E27FC236}">
              <a16:creationId xmlns:a16="http://schemas.microsoft.com/office/drawing/2014/main" id="{6C183048-DAC2-4554-A436-BE074BF45DBD}"/>
            </a:ext>
          </a:extLst>
        </xdr:cNvPr>
        <xdr:cNvSpPr/>
      </xdr:nvSpPr>
      <xdr:spPr>
        <a:xfrm>
          <a:off x="320017" y="7258683"/>
          <a:ext cx="1358213" cy="1116365"/>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5</xdr:col>
      <xdr:colOff>538010</xdr:colOff>
      <xdr:row>22</xdr:row>
      <xdr:rowOff>152400</xdr:rowOff>
    </xdr:from>
    <xdr:to>
      <xdr:col>9</xdr:col>
      <xdr:colOff>266699</xdr:colOff>
      <xdr:row>34</xdr:row>
      <xdr:rowOff>20059</xdr:rowOff>
    </xdr:to>
    <xdr:sp macro="" textlink="">
      <xdr:nvSpPr>
        <xdr:cNvPr id="665" name="Oval 4">
          <a:extLst>
            <a:ext uri="{FF2B5EF4-FFF2-40B4-BE49-F238E27FC236}">
              <a16:creationId xmlns:a16="http://schemas.microsoft.com/office/drawing/2014/main" id="{7F3E48F1-F7B0-433B-884E-4E8B3B7F265E}"/>
            </a:ext>
          </a:extLst>
        </xdr:cNvPr>
        <xdr:cNvSpPr/>
      </xdr:nvSpPr>
      <xdr:spPr>
        <a:xfrm>
          <a:off x="3586010" y="4108450"/>
          <a:ext cx="2167089" cy="2001259"/>
        </a:xfrm>
        <a:prstGeom prst="ellipse">
          <a:avLst/>
        </a:prstGeom>
        <a:solidFill>
          <a:srgbClr val="339EA8"/>
        </a:solidFill>
        <a:ln>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000">
            <a:highlight>
              <a:srgbClr val="FFFF00"/>
            </a:highlight>
            <a:latin typeface="Arial" panose="020B0604020202020204" pitchFamily="34" charset="0"/>
            <a:cs typeface="Arial" panose="020B0604020202020204" pitchFamily="34" charset="0"/>
          </a:endParaRPr>
        </a:p>
      </xdr:txBody>
    </xdr:sp>
    <xdr:clientData/>
  </xdr:twoCellAnchor>
  <xdr:oneCellAnchor>
    <xdr:from>
      <xdr:col>6</xdr:col>
      <xdr:colOff>236709</xdr:colOff>
      <xdr:row>23</xdr:row>
      <xdr:rowOff>125840</xdr:rowOff>
    </xdr:from>
    <xdr:ext cx="1547254" cy="903452"/>
    <xdr:sp macro="" textlink="Need!B18">
      <xdr:nvSpPr>
        <xdr:cNvPr id="668" name="TextBox 5">
          <a:extLst>
            <a:ext uri="{FF2B5EF4-FFF2-40B4-BE49-F238E27FC236}">
              <a16:creationId xmlns:a16="http://schemas.microsoft.com/office/drawing/2014/main" id="{E532D81E-BE34-CEB0-5EB5-628500C2F2D3}"/>
            </a:ext>
          </a:extLst>
        </xdr:cNvPr>
        <xdr:cNvSpPr txBox="1"/>
      </xdr:nvSpPr>
      <xdr:spPr>
        <a:xfrm>
          <a:off x="3894309" y="4288265"/>
          <a:ext cx="1547254" cy="903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EF2C0BC7-DAE7-4513-A9B0-A990D1091431}" type="TxLink">
            <a:rPr lang="en-US" sz="1100" b="0" i="0" u="none" strike="noStrike">
              <a:solidFill>
                <a:schemeClr val="bg1"/>
              </a:solidFill>
              <a:latin typeface="Arial" panose="020B0604020202020204" pitchFamily="34" charset="0"/>
              <a:cs typeface="Arial" panose="020B0604020202020204" pitchFamily="34" charset="0"/>
            </a:rPr>
            <a:pPr algn="ctr"/>
            <a:t>Around 184,000 adults report long term illness or disability - 20.1% of the population.</a:t>
          </a:fld>
          <a:endParaRPr lang="en-GB" sz="500">
            <a:solidFill>
              <a:schemeClr val="bg1"/>
            </a:solidFill>
            <a:latin typeface="Arial" panose="020B0604020202020204" pitchFamily="34" charset="0"/>
            <a:cs typeface="Arial" panose="020B0604020202020204" pitchFamily="34" charset="0"/>
          </a:endParaRPr>
        </a:p>
      </xdr:txBody>
    </xdr:sp>
    <xdr:clientData/>
  </xdr:oneCellAnchor>
  <xdr:oneCellAnchor>
    <xdr:from>
      <xdr:col>6</xdr:col>
      <xdr:colOff>235282</xdr:colOff>
      <xdr:row>29</xdr:row>
      <xdr:rowOff>25461</xdr:rowOff>
    </xdr:from>
    <xdr:ext cx="1547254" cy="741229"/>
    <xdr:sp macro="" textlink="Need!B19">
      <xdr:nvSpPr>
        <xdr:cNvPr id="666" name="TextBox 7">
          <a:extLst>
            <a:ext uri="{FF2B5EF4-FFF2-40B4-BE49-F238E27FC236}">
              <a16:creationId xmlns:a16="http://schemas.microsoft.com/office/drawing/2014/main" id="{67AE63DE-3416-4968-9B13-8DF89F04F8C2}"/>
            </a:ext>
          </a:extLst>
        </xdr:cNvPr>
        <xdr:cNvSpPr txBox="1"/>
      </xdr:nvSpPr>
      <xdr:spPr>
        <a:xfrm>
          <a:off x="3872100" y="5466256"/>
          <a:ext cx="1547254" cy="741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D8E506E5-3E27-415C-B518-55820A0FE4D3}" type="TxLink">
            <a:rPr lang="en-US" sz="1100" b="0" i="0" u="none" strike="noStrike">
              <a:solidFill>
                <a:schemeClr val="bg1"/>
              </a:solidFill>
              <a:latin typeface="Arial" panose="020B0604020202020204" pitchFamily="34" charset="0"/>
              <a:cs typeface="Arial" panose="020B0604020202020204" pitchFamily="34" charset="0"/>
            </a:rPr>
            <a:pPr algn="ctr"/>
            <a:t>Around 51,000 adults report bad or very bad health - 5.5% of the population.</a:t>
          </a:fld>
          <a:endParaRPr lang="en-GB" sz="100">
            <a:solidFill>
              <a:schemeClr val="bg1"/>
            </a:solidFill>
            <a:latin typeface="Arial" panose="020B0604020202020204" pitchFamily="34" charset="0"/>
            <a:cs typeface="Arial" panose="020B0604020202020204" pitchFamily="34" charset="0"/>
          </a:endParaRPr>
        </a:p>
      </xdr:txBody>
    </xdr:sp>
    <xdr:clientData/>
  </xdr:oneCellAnchor>
  <xdr:twoCellAnchor>
    <xdr:from>
      <xdr:col>6</xdr:col>
      <xdr:colOff>451180</xdr:colOff>
      <xdr:row>28</xdr:row>
      <xdr:rowOff>139574</xdr:rowOff>
    </xdr:from>
    <xdr:to>
      <xdr:col>8</xdr:col>
      <xdr:colOff>337500</xdr:colOff>
      <xdr:row>28</xdr:row>
      <xdr:rowOff>141356</xdr:rowOff>
    </xdr:to>
    <xdr:cxnSp macro="">
      <xdr:nvCxnSpPr>
        <xdr:cNvPr id="667" name="Straight Connector 11">
          <a:extLst>
            <a:ext uri="{FF2B5EF4-FFF2-40B4-BE49-F238E27FC236}">
              <a16:creationId xmlns:a16="http://schemas.microsoft.com/office/drawing/2014/main" id="{A2AEC804-5C8B-EB92-FE7B-E98203DDFE45}"/>
            </a:ext>
          </a:extLst>
        </xdr:cNvPr>
        <xdr:cNvCxnSpPr/>
      </xdr:nvCxnSpPr>
      <xdr:spPr>
        <a:xfrm flipV="1">
          <a:off x="4091847" y="5276018"/>
          <a:ext cx="1099875" cy="1782"/>
        </a:xfrm>
        <a:prstGeom prst="line">
          <a:avLst/>
        </a:prstGeom>
        <a:ln>
          <a:solidFill>
            <a:schemeClr val="bg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324048</xdr:colOff>
      <xdr:row>29</xdr:row>
      <xdr:rowOff>120478</xdr:rowOff>
    </xdr:from>
    <xdr:to>
      <xdr:col>4</xdr:col>
      <xdr:colOff>468705</xdr:colOff>
      <xdr:row>35</xdr:row>
      <xdr:rowOff>136174</xdr:rowOff>
    </xdr:to>
    <xdr:sp macro="" textlink="B22">
      <xdr:nvSpPr>
        <xdr:cNvPr id="557" name="Hexagon 119">
          <a:extLst>
            <a:ext uri="{FF2B5EF4-FFF2-40B4-BE49-F238E27FC236}">
              <a16:creationId xmlns:a16="http://schemas.microsoft.com/office/drawing/2014/main" id="{8C4D4434-759E-46F6-9A97-062E8718010C}"/>
            </a:ext>
          </a:extLst>
        </xdr:cNvPr>
        <xdr:cNvSpPr/>
      </xdr:nvSpPr>
      <xdr:spPr>
        <a:xfrm>
          <a:off x="1537604" y="5440367"/>
          <a:ext cx="1358212" cy="1116363"/>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fld id="{A2FB0E2F-3DA6-472B-9ED9-10E0200C9B20}" type="TxLink">
            <a:rPr lang="en-US" sz="1100" b="0" i="0" u="none" strike="noStrike">
              <a:solidFill>
                <a:srgbClr val="000000"/>
              </a:solidFill>
              <a:highlight>
                <a:srgbClr val="FFFF00"/>
              </a:highlight>
              <a:latin typeface="Arial" panose="020B0604020202020204" pitchFamily="34" charset="0"/>
              <a:cs typeface="Arial" panose="020B0604020202020204" pitchFamily="34" charset="0"/>
            </a:rPr>
            <a:pPr algn="ctr"/>
            <a:t> </a:t>
          </a:fld>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editAs="oneCell">
    <xdr:from>
      <xdr:col>1</xdr:col>
      <xdr:colOff>112889</xdr:colOff>
      <xdr:row>28</xdr:row>
      <xdr:rowOff>42334</xdr:rowOff>
    </xdr:from>
    <xdr:to>
      <xdr:col>2</xdr:col>
      <xdr:colOff>180623</xdr:colOff>
      <xdr:row>32</xdr:row>
      <xdr:rowOff>26459</xdr:rowOff>
    </xdr:to>
    <xdr:pic>
      <xdr:nvPicPr>
        <xdr:cNvPr id="526" name="Picture 21">
          <a:extLst>
            <a:ext uri="{FF2B5EF4-FFF2-40B4-BE49-F238E27FC236}">
              <a16:creationId xmlns:a16="http://schemas.microsoft.com/office/drawing/2014/main" id="{B9820D8C-B40E-406C-ACCF-0211D13ABC4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19667" y="5178778"/>
          <a:ext cx="68050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349601</xdr:colOff>
      <xdr:row>30</xdr:row>
      <xdr:rowOff>120650</xdr:rowOff>
    </xdr:from>
    <xdr:ext cx="1298222" cy="741229"/>
    <xdr:sp macro="" textlink="Need!B22">
      <xdr:nvSpPr>
        <xdr:cNvPr id="573" name="TextBox 25">
          <a:extLst>
            <a:ext uri="{FF2B5EF4-FFF2-40B4-BE49-F238E27FC236}">
              <a16:creationId xmlns:a16="http://schemas.microsoft.com/office/drawing/2014/main" id="{7D349C35-2674-40E8-47C3-C185A249B5EC}"/>
            </a:ext>
          </a:extLst>
        </xdr:cNvPr>
        <xdr:cNvSpPr txBox="1"/>
      </xdr:nvSpPr>
      <xdr:spPr>
        <a:xfrm>
          <a:off x="1577268" y="5518150"/>
          <a:ext cx="1298222" cy="741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91C55863-AC59-454C-B7BB-99963DD2FDD6}" type="TxLink">
            <a:rPr lang="en-US" sz="1100" b="0" i="0" u="none" strike="noStrike">
              <a:solidFill>
                <a:schemeClr val="bg1"/>
              </a:solidFill>
              <a:latin typeface="Arial" panose="020B0604020202020204" pitchFamily="34" charset="0"/>
              <a:cs typeface="Arial" panose="020B0604020202020204" pitchFamily="34" charset="0"/>
            </a:rPr>
            <a:pPr algn="ctr"/>
            <a:t>Around 82,000 (8.9%) provide some form of unpaid care.</a:t>
          </a:fld>
          <a:endParaRPr lang="en-GB" sz="500">
            <a:solidFill>
              <a:schemeClr val="bg1"/>
            </a:solidFill>
            <a:latin typeface="Arial" panose="020B0604020202020204" pitchFamily="34" charset="0"/>
            <a:cs typeface="Arial" panose="020B0604020202020204" pitchFamily="34" charset="0"/>
          </a:endParaRPr>
        </a:p>
      </xdr:txBody>
    </xdr:sp>
    <xdr:clientData/>
  </xdr:oneCellAnchor>
  <xdr:oneCellAnchor>
    <xdr:from>
      <xdr:col>0</xdr:col>
      <xdr:colOff>364066</xdr:colOff>
      <xdr:row>34</xdr:row>
      <xdr:rowOff>47272</xdr:rowOff>
    </xdr:from>
    <xdr:ext cx="1298222" cy="741229"/>
    <xdr:sp macro="" textlink="Need!B23">
      <xdr:nvSpPr>
        <xdr:cNvPr id="580" name="TextBox 26">
          <a:extLst>
            <a:ext uri="{FF2B5EF4-FFF2-40B4-BE49-F238E27FC236}">
              <a16:creationId xmlns:a16="http://schemas.microsoft.com/office/drawing/2014/main" id="{AFD58F22-FC6F-4454-9F6E-D2C09A5F82F2}"/>
            </a:ext>
          </a:extLst>
        </xdr:cNvPr>
        <xdr:cNvSpPr txBox="1"/>
      </xdr:nvSpPr>
      <xdr:spPr>
        <a:xfrm>
          <a:off x="364066" y="6200422"/>
          <a:ext cx="1298222" cy="741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E1328939-FEED-4AC0-A5F9-986A2E920564}" type="TxLink">
            <a:rPr lang="en-US" sz="1100" b="0" i="0" u="none" strike="noStrike">
              <a:solidFill>
                <a:schemeClr val="bg1"/>
              </a:solidFill>
              <a:latin typeface="Arial" panose="020B0604020202020204" pitchFamily="34" charset="0"/>
              <a:cs typeface="Arial" panose="020B0604020202020204" pitchFamily="34" charset="0"/>
            </a:rPr>
            <a:pPr algn="ctr"/>
            <a:t>4.6% provide up to 20 hours of unpaid care per week.</a:t>
          </a:fld>
          <a:endParaRPr lang="en-GB" sz="1100">
            <a:solidFill>
              <a:schemeClr val="bg1"/>
            </a:solidFill>
            <a:latin typeface="Arial" panose="020B0604020202020204" pitchFamily="34" charset="0"/>
            <a:cs typeface="Arial" panose="020B0604020202020204" pitchFamily="34" charset="0"/>
          </a:endParaRPr>
        </a:p>
      </xdr:txBody>
    </xdr:sp>
    <xdr:clientData/>
  </xdr:oneCellAnchor>
  <xdr:oneCellAnchor>
    <xdr:from>
      <xdr:col>2</xdr:col>
      <xdr:colOff>304799</xdr:colOff>
      <xdr:row>37</xdr:row>
      <xdr:rowOff>28928</xdr:rowOff>
    </xdr:from>
    <xdr:ext cx="1298222" cy="903452"/>
    <xdr:sp macro="" textlink="Need!B24">
      <xdr:nvSpPr>
        <xdr:cNvPr id="588" name="TextBox 27">
          <a:extLst>
            <a:ext uri="{FF2B5EF4-FFF2-40B4-BE49-F238E27FC236}">
              <a16:creationId xmlns:a16="http://schemas.microsoft.com/office/drawing/2014/main" id="{240A8C09-68D6-46EF-A82D-8A895B3A55FF}"/>
            </a:ext>
          </a:extLst>
        </xdr:cNvPr>
        <xdr:cNvSpPr txBox="1"/>
      </xdr:nvSpPr>
      <xdr:spPr>
        <a:xfrm>
          <a:off x="1523999" y="6725003"/>
          <a:ext cx="1298222" cy="903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0A70876A-6A04-4F93-9C9C-A757EA13A010}" type="TxLink">
            <a:rPr lang="en-US" sz="1100" b="0" i="0" u="none" strike="noStrike">
              <a:solidFill>
                <a:schemeClr val="bg1"/>
              </a:solidFill>
              <a:latin typeface="Arial" panose="020B0604020202020204" pitchFamily="34" charset="0"/>
              <a:cs typeface="Arial" panose="020B0604020202020204" pitchFamily="34" charset="0"/>
            </a:rPr>
            <a:pPr algn="ctr"/>
            <a:t>1.8% provide between 20 and 49 hours of unpaid care per week.</a:t>
          </a:fld>
          <a:endParaRPr lang="en-GB" sz="1100">
            <a:solidFill>
              <a:schemeClr val="bg1"/>
            </a:solidFill>
            <a:latin typeface="Arial" panose="020B0604020202020204" pitchFamily="34" charset="0"/>
            <a:cs typeface="Arial" panose="020B0604020202020204" pitchFamily="34" charset="0"/>
          </a:endParaRPr>
        </a:p>
      </xdr:txBody>
    </xdr:sp>
    <xdr:clientData/>
  </xdr:oneCellAnchor>
  <xdr:oneCellAnchor>
    <xdr:from>
      <xdr:col>0</xdr:col>
      <xdr:colOff>372532</xdr:colOff>
      <xdr:row>41</xdr:row>
      <xdr:rowOff>19756</xdr:rowOff>
    </xdr:from>
    <xdr:ext cx="1298222" cy="579005"/>
    <xdr:sp macro="" textlink="Need!B25">
      <xdr:nvSpPr>
        <xdr:cNvPr id="602" name="TextBox 28">
          <a:extLst>
            <a:ext uri="{FF2B5EF4-FFF2-40B4-BE49-F238E27FC236}">
              <a16:creationId xmlns:a16="http://schemas.microsoft.com/office/drawing/2014/main" id="{324E2516-E6EA-4D8C-AD8C-4FE31E4167CF}"/>
            </a:ext>
          </a:extLst>
        </xdr:cNvPr>
        <xdr:cNvSpPr txBox="1"/>
      </xdr:nvSpPr>
      <xdr:spPr>
        <a:xfrm>
          <a:off x="372532" y="7439731"/>
          <a:ext cx="1298222" cy="5790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2093A53F-F5D7-4416-81EE-3DF7A59F77DD}" type="TxLink">
            <a:rPr lang="en-US" sz="1100" b="0" i="0" u="none" strike="noStrike">
              <a:solidFill>
                <a:schemeClr val="bg1"/>
              </a:solidFill>
              <a:latin typeface="Arial" panose="020B0604020202020204" pitchFamily="34" charset="0"/>
              <a:cs typeface="Arial" panose="020B0604020202020204" pitchFamily="34" charset="0"/>
            </a:rPr>
            <a:pPr algn="ctr"/>
            <a:t>2.9% provide 50+ hours of unpaid care per week.</a:t>
          </a:fld>
          <a:endParaRPr lang="en-GB" sz="500">
            <a:solidFill>
              <a:schemeClr val="bg1"/>
            </a:solidFill>
            <a:latin typeface="Arial" panose="020B0604020202020204" pitchFamily="34" charset="0"/>
            <a:cs typeface="Arial" panose="020B0604020202020204" pitchFamily="34" charset="0"/>
          </a:endParaRPr>
        </a:p>
      </xdr:txBody>
    </xdr:sp>
    <xdr:clientData/>
  </xdr:oneCellAnchor>
  <xdr:oneCellAnchor>
    <xdr:from>
      <xdr:col>0</xdr:col>
      <xdr:colOff>36199</xdr:colOff>
      <xdr:row>15</xdr:row>
      <xdr:rowOff>169333</xdr:rowOff>
    </xdr:from>
    <xdr:ext cx="3558454" cy="409765"/>
    <xdr:sp macro="" textlink="Need!E11">
      <xdr:nvSpPr>
        <xdr:cNvPr id="673" name="TextBox 29">
          <a:extLst>
            <a:ext uri="{FF2B5EF4-FFF2-40B4-BE49-F238E27FC236}">
              <a16:creationId xmlns:a16="http://schemas.microsoft.com/office/drawing/2014/main" id="{C9805D5C-EF5F-2FAD-CE19-18F1E6D40C06}"/>
            </a:ext>
          </a:extLst>
        </xdr:cNvPr>
        <xdr:cNvSpPr txBox="1"/>
      </xdr:nvSpPr>
      <xdr:spPr>
        <a:xfrm>
          <a:off x="36199" y="2868083"/>
          <a:ext cx="3558454" cy="4097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fld id="{1FF45436-8A66-4ECC-AC4C-A50799A7038A}" type="TxLink">
            <a:rPr lang="en-US" sz="1100" b="1" i="0" u="none" strike="noStrike">
              <a:solidFill>
                <a:srgbClr val="000000"/>
              </a:solidFill>
              <a:latin typeface="Arial" panose="020B0604020202020204" pitchFamily="34" charset="0"/>
              <a:cs typeface="Arial" panose="020B0604020202020204" pitchFamily="34" charset="0"/>
            </a:rPr>
            <a:pPr algn="ctr"/>
            <a:t>Demographic Breakdown,2015 vs 2025 - Norfolk</a:t>
          </a:fld>
          <a:endParaRPr lang="en-GB" sz="1100">
            <a:latin typeface="Arial" panose="020B0604020202020204" pitchFamily="34" charset="0"/>
            <a:cs typeface="Arial" panose="020B0604020202020204" pitchFamily="34" charset="0"/>
          </a:endParaRPr>
        </a:p>
      </xdr:txBody>
    </xdr:sp>
    <xdr:clientData/>
  </xdr:oneCellAnchor>
  <xdr:oneCellAnchor>
    <xdr:from>
      <xdr:col>5</xdr:col>
      <xdr:colOff>380999</xdr:colOff>
      <xdr:row>40</xdr:row>
      <xdr:rowOff>85759</xdr:rowOff>
    </xdr:from>
    <xdr:ext cx="2356557" cy="1124667"/>
    <xdr:sp macro="" textlink="Need!B20">
      <xdr:nvSpPr>
        <xdr:cNvPr id="672" name="TextBox 30">
          <a:extLst>
            <a:ext uri="{FF2B5EF4-FFF2-40B4-BE49-F238E27FC236}">
              <a16:creationId xmlns:a16="http://schemas.microsoft.com/office/drawing/2014/main" id="{869329F6-DA02-90AB-2CD3-6404320CBDA6}"/>
            </a:ext>
          </a:extLst>
        </xdr:cNvPr>
        <xdr:cNvSpPr txBox="1"/>
      </xdr:nvSpPr>
      <xdr:spPr>
        <a:xfrm>
          <a:off x="3428999" y="7324759"/>
          <a:ext cx="2356557" cy="11246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l"/>
          <a:fld id="{7388B18B-141F-4592-A38E-9F90D32E4718}" type="TxLink">
            <a:rPr lang="en-US" sz="1400" b="0" i="0" u="none" strike="noStrike">
              <a:solidFill>
                <a:srgbClr val="008591"/>
              </a:solidFill>
              <a:latin typeface="Arial" panose="020B0604020202020204" pitchFamily="34" charset="0"/>
              <a:cs typeface="Arial" panose="020B0604020202020204" pitchFamily="34" charset="0"/>
            </a:rPr>
            <a:pPr algn="l"/>
            <a:t>Around 3,000 adults with a learning disability were supported in  in 2023/24. Around 2,000 (88%) were of working age.</a:t>
          </a:fld>
          <a:endParaRPr lang="en-GB" sz="700">
            <a:solidFill>
              <a:srgbClr val="008591"/>
            </a:solidFill>
            <a:latin typeface="Arial" panose="020B0604020202020204" pitchFamily="34" charset="0"/>
            <a:cs typeface="Arial" panose="020B0604020202020204" pitchFamily="34" charset="0"/>
          </a:endParaRPr>
        </a:p>
      </xdr:txBody>
    </xdr:sp>
    <xdr:clientData/>
  </xdr:oneCellAnchor>
  <xdr:twoCellAnchor editAs="oneCell">
    <xdr:from>
      <xdr:col>2</xdr:col>
      <xdr:colOff>507999</xdr:colOff>
      <xdr:row>43</xdr:row>
      <xdr:rowOff>42333</xdr:rowOff>
    </xdr:from>
    <xdr:to>
      <xdr:col>4</xdr:col>
      <xdr:colOff>7408</xdr:colOff>
      <xdr:row>47</xdr:row>
      <xdr:rowOff>26459</xdr:rowOff>
    </xdr:to>
    <xdr:pic>
      <xdr:nvPicPr>
        <xdr:cNvPr id="657" name="Picture 31">
          <a:extLst>
            <a:ext uri="{FF2B5EF4-FFF2-40B4-BE49-F238E27FC236}">
              <a16:creationId xmlns:a16="http://schemas.microsoft.com/office/drawing/2014/main" id="{0274B6D5-F338-4033-A0A6-225BE6116A2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721555" y="7930444"/>
          <a:ext cx="715434"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592667</xdr:colOff>
      <xdr:row>35</xdr:row>
      <xdr:rowOff>84666</xdr:rowOff>
    </xdr:from>
    <xdr:to>
      <xdr:col>8</xdr:col>
      <xdr:colOff>82551</xdr:colOff>
      <xdr:row>39</xdr:row>
      <xdr:rowOff>68792</xdr:rowOff>
    </xdr:to>
    <xdr:pic>
      <xdr:nvPicPr>
        <xdr:cNvPr id="671" name="Picture 32">
          <a:extLst>
            <a:ext uri="{FF2B5EF4-FFF2-40B4-BE49-F238E27FC236}">
              <a16:creationId xmlns:a16="http://schemas.microsoft.com/office/drawing/2014/main" id="{93416645-2532-4AB7-B820-644EB344208F}"/>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233334" y="6505222"/>
          <a:ext cx="71225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8</xdr:col>
      <xdr:colOff>97368</xdr:colOff>
      <xdr:row>21</xdr:row>
      <xdr:rowOff>171450</xdr:rowOff>
    </xdr:to>
    <xdr:pic>
      <xdr:nvPicPr>
        <xdr:cNvPr id="664" name="Picture 33">
          <a:extLst>
            <a:ext uri="{FF2B5EF4-FFF2-40B4-BE49-F238E27FC236}">
              <a16:creationId xmlns:a16="http://schemas.microsoft.com/office/drawing/2014/main" id="{30C879D2-4093-4A4D-AB05-7C00D61CF0B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247444" y="3302000"/>
          <a:ext cx="706968"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6350</xdr:colOff>
      <xdr:row>9</xdr:row>
      <xdr:rowOff>107373</xdr:rowOff>
    </xdr:from>
    <xdr:to>
      <xdr:col>15</xdr:col>
      <xdr:colOff>599068</xdr:colOff>
      <xdr:row>14</xdr:row>
      <xdr:rowOff>146052</xdr:rowOff>
    </xdr:to>
    <xdr:sp macro="" textlink="">
      <xdr:nvSpPr>
        <xdr:cNvPr id="27" name="Rectangle: Rounded Corners 88">
          <a:extLst>
            <a:ext uri="{FF2B5EF4-FFF2-40B4-BE49-F238E27FC236}">
              <a16:creationId xmlns:a16="http://schemas.microsoft.com/office/drawing/2014/main" id="{EE144777-BD42-4C90-BF1A-C910EDC2216E}"/>
            </a:ext>
          </a:extLst>
        </xdr:cNvPr>
        <xdr:cNvSpPr/>
      </xdr:nvSpPr>
      <xdr:spPr>
        <a:xfrm>
          <a:off x="8492259" y="1795896"/>
          <a:ext cx="1198854" cy="976747"/>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latin typeface="Arial" panose="020B0604020202020204" pitchFamily="34" charset="0"/>
            <a:cs typeface="Arial" panose="020B0604020202020204" pitchFamily="34" charset="0"/>
          </a:endParaRPr>
        </a:p>
      </xdr:txBody>
    </xdr:sp>
    <xdr:clientData/>
  </xdr:twoCellAnchor>
  <xdr:twoCellAnchor>
    <xdr:from>
      <xdr:col>2</xdr:col>
      <xdr:colOff>99785</xdr:colOff>
      <xdr:row>51</xdr:row>
      <xdr:rowOff>90715</xdr:rowOff>
    </xdr:from>
    <xdr:to>
      <xdr:col>7</xdr:col>
      <xdr:colOff>489857</xdr:colOff>
      <xdr:row>53</xdr:row>
      <xdr:rowOff>169506</xdr:rowOff>
    </xdr:to>
    <xdr:sp macro="" textlink="">
      <xdr:nvSpPr>
        <xdr:cNvPr id="370" name="Rectangle: Rounded Corners 35">
          <a:extLst>
            <a:ext uri="{FF2B5EF4-FFF2-40B4-BE49-F238E27FC236}">
              <a16:creationId xmlns:a16="http://schemas.microsoft.com/office/drawing/2014/main" id="{379C10A1-1CD7-C0CC-747D-C586271BC7AF}"/>
            </a:ext>
          </a:extLst>
        </xdr:cNvPr>
        <xdr:cNvSpPr/>
      </xdr:nvSpPr>
      <xdr:spPr>
        <a:xfrm>
          <a:off x="1315356" y="9343572"/>
          <a:ext cx="3429001" cy="441648"/>
        </a:xfrm>
        <a:prstGeom prst="roundRect">
          <a:avLst/>
        </a:prstGeom>
        <a:solidFill>
          <a:srgbClr val="6E003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editAs="oneCell">
    <xdr:from>
      <xdr:col>2</xdr:col>
      <xdr:colOff>117929</xdr:colOff>
      <xdr:row>51</xdr:row>
      <xdr:rowOff>99787</xdr:rowOff>
    </xdr:from>
    <xdr:to>
      <xdr:col>7</xdr:col>
      <xdr:colOff>484238</xdr:colOff>
      <xdr:row>53</xdr:row>
      <xdr:rowOff>164593</xdr:rowOff>
    </xdr:to>
    <xdr:pic>
      <xdr:nvPicPr>
        <xdr:cNvPr id="371" name="Picture 36">
          <a:extLst>
            <a:ext uri="{FF2B5EF4-FFF2-40B4-BE49-F238E27FC236}">
              <a16:creationId xmlns:a16="http://schemas.microsoft.com/office/drawing/2014/main" id="{E5B6AF3E-6524-6F58-F560-494697029DF6}"/>
            </a:ext>
          </a:extLst>
        </xdr:cNvPr>
        <xdr:cNvPicPr>
          <a:picLocks noChangeAspect="1"/>
        </xdr:cNvPicPr>
      </xdr:nvPicPr>
      <xdr:blipFill>
        <a:blip xmlns:r="http://schemas.openxmlformats.org/officeDocument/2006/relationships" r:embed="rId12"/>
        <a:stretch>
          <a:fillRect/>
        </a:stretch>
      </xdr:blipFill>
      <xdr:spPr>
        <a:xfrm>
          <a:off x="1333500" y="9352644"/>
          <a:ext cx="3407959" cy="426757"/>
        </a:xfrm>
        <a:prstGeom prst="rect">
          <a:avLst/>
        </a:prstGeom>
      </xdr:spPr>
    </xdr:pic>
    <xdr:clientData/>
  </xdr:twoCellAnchor>
  <xdr:twoCellAnchor>
    <xdr:from>
      <xdr:col>0</xdr:col>
      <xdr:colOff>54428</xdr:colOff>
      <xdr:row>54</xdr:row>
      <xdr:rowOff>63500</xdr:rowOff>
    </xdr:from>
    <xdr:to>
      <xdr:col>4</xdr:col>
      <xdr:colOff>308429</xdr:colOff>
      <xdr:row>58</xdr:row>
      <xdr:rowOff>20024</xdr:rowOff>
    </xdr:to>
    <xdr:sp macro="" textlink="">
      <xdr:nvSpPr>
        <xdr:cNvPr id="396" name="TextBox 81">
          <a:extLst>
            <a:ext uri="{FF2B5EF4-FFF2-40B4-BE49-F238E27FC236}">
              <a16:creationId xmlns:a16="http://schemas.microsoft.com/office/drawing/2014/main" id="{78465566-0AE7-B99F-50FF-0EF99522FD7E}"/>
            </a:ext>
          </a:extLst>
        </xdr:cNvPr>
        <xdr:cNvSpPr txBox="1"/>
      </xdr:nvSpPr>
      <xdr:spPr>
        <a:xfrm>
          <a:off x="54428" y="9860643"/>
          <a:ext cx="2685144" cy="682238"/>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1000">
              <a:solidFill>
                <a:srgbClr val="2E2659"/>
              </a:solidFill>
              <a:latin typeface="Arial" panose="020B0604020202020204" pitchFamily="34" charset="0"/>
              <a:cs typeface="Arial" panose="020B0604020202020204" pitchFamily="34" charset="0"/>
            </a:rPr>
            <a:t>At the centre of adult social care are the individuals being supported to live as independently as possible in a safe environment that enhances their wellbeing. </a:t>
          </a:r>
        </a:p>
      </xdr:txBody>
    </xdr:sp>
    <xdr:clientData/>
  </xdr:twoCellAnchor>
  <xdr:twoCellAnchor editAs="oneCell">
    <xdr:from>
      <xdr:col>4</xdr:col>
      <xdr:colOff>272144</xdr:colOff>
      <xdr:row>54</xdr:row>
      <xdr:rowOff>27214</xdr:rowOff>
    </xdr:from>
    <xdr:to>
      <xdr:col>5</xdr:col>
      <xdr:colOff>369844</xdr:colOff>
      <xdr:row>58</xdr:row>
      <xdr:rowOff>20139</xdr:rowOff>
    </xdr:to>
    <xdr:pic>
      <xdr:nvPicPr>
        <xdr:cNvPr id="392" name="Picture 39">
          <a:extLst>
            <a:ext uri="{FF2B5EF4-FFF2-40B4-BE49-F238E27FC236}">
              <a16:creationId xmlns:a16="http://schemas.microsoft.com/office/drawing/2014/main" id="{F5559B4C-C2E9-44D7-8E8B-DE81176D80FE}"/>
            </a:ext>
          </a:extLst>
        </xdr:cNvPr>
        <xdr:cNvPicPr>
          <a:picLocks noChangeAspect="1"/>
        </xdr:cNvPicPr>
      </xdr:nvPicPr>
      <xdr:blipFill>
        <a:blip xmlns:r="http://schemas.openxmlformats.org/officeDocument/2006/relationships" r:embed="rId13" cstate="print">
          <a:biLevel thresh="75000"/>
          <a:extLst>
            <a:ext uri="{28A0092B-C50C-407E-A947-70E740481C1C}">
              <a14:useLocalDpi xmlns:a14="http://schemas.microsoft.com/office/drawing/2010/main" val="0"/>
            </a:ext>
          </a:extLst>
        </a:blip>
        <a:stretch>
          <a:fillRect/>
        </a:stretch>
      </xdr:blipFill>
      <xdr:spPr>
        <a:xfrm>
          <a:off x="2703287" y="9824357"/>
          <a:ext cx="704125" cy="713650"/>
        </a:xfrm>
        <a:prstGeom prst="rect">
          <a:avLst/>
        </a:prstGeom>
      </xdr:spPr>
    </xdr:pic>
    <xdr:clientData/>
  </xdr:twoCellAnchor>
  <xdr:twoCellAnchor>
    <xdr:from>
      <xdr:col>5</xdr:col>
      <xdr:colOff>344713</xdr:colOff>
      <xdr:row>54</xdr:row>
      <xdr:rowOff>37407</xdr:rowOff>
    </xdr:from>
    <xdr:to>
      <xdr:col>9</xdr:col>
      <xdr:colOff>601890</xdr:colOff>
      <xdr:row>57</xdr:row>
      <xdr:rowOff>179895</xdr:rowOff>
    </xdr:to>
    <xdr:sp macro="" textlink="'Care Users'!B12">
      <xdr:nvSpPr>
        <xdr:cNvPr id="435" name="TextBox 81">
          <a:extLst>
            <a:ext uri="{FF2B5EF4-FFF2-40B4-BE49-F238E27FC236}">
              <a16:creationId xmlns:a16="http://schemas.microsoft.com/office/drawing/2014/main" id="{50F5C289-7452-486E-8867-C8CA5997A15D}"/>
            </a:ext>
          </a:extLst>
        </xdr:cNvPr>
        <xdr:cNvSpPr txBox="1"/>
      </xdr:nvSpPr>
      <xdr:spPr>
        <a:xfrm>
          <a:off x="3413880" y="9752907"/>
          <a:ext cx="2712510" cy="682238"/>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fld id="{05D9F4AF-16FF-4CE4-A68C-B4B474ABB49D}" type="TxLink">
            <a:rPr lang="en-US" sz="1000" b="0" i="0" u="none" strike="noStrike">
              <a:solidFill>
                <a:srgbClr val="2E2659"/>
              </a:solidFill>
              <a:latin typeface="Arial" panose="020B0604020202020204" pitchFamily="34" charset="0"/>
              <a:cs typeface="Arial" panose="020B0604020202020204" pitchFamily="34" charset="0"/>
            </a:rPr>
            <a:pPr algn="r"/>
            <a:t>As of 2024/25, around 2.3% of the adult population are receiving long-term care, with 65% of those being cared for in the community.</a:t>
          </a:fld>
          <a:endParaRPr lang="en-GB" sz="1000">
            <a:solidFill>
              <a:srgbClr val="2E2659"/>
            </a:solidFill>
            <a:latin typeface="Arial" panose="020B0604020202020204" pitchFamily="34" charset="0"/>
            <a:cs typeface="Arial" panose="020B0604020202020204" pitchFamily="34" charset="0"/>
          </a:endParaRPr>
        </a:p>
      </xdr:txBody>
    </xdr:sp>
    <xdr:clientData/>
  </xdr:twoCellAnchor>
  <xdr:twoCellAnchor>
    <xdr:from>
      <xdr:col>0</xdr:col>
      <xdr:colOff>136071</xdr:colOff>
      <xdr:row>58</xdr:row>
      <xdr:rowOff>36285</xdr:rowOff>
    </xdr:from>
    <xdr:to>
      <xdr:col>9</xdr:col>
      <xdr:colOff>444500</xdr:colOff>
      <xdr:row>65</xdr:row>
      <xdr:rowOff>57711</xdr:rowOff>
    </xdr:to>
    <xdr:grpSp>
      <xdr:nvGrpSpPr>
        <xdr:cNvPr id="800" name="Group 434">
          <a:extLst>
            <a:ext uri="{FF2B5EF4-FFF2-40B4-BE49-F238E27FC236}">
              <a16:creationId xmlns:a16="http://schemas.microsoft.com/office/drawing/2014/main" id="{01C05A9B-801B-E2F7-301F-8E82A0BCDF96}"/>
            </a:ext>
          </a:extLst>
        </xdr:cNvPr>
        <xdr:cNvGrpSpPr/>
      </xdr:nvGrpSpPr>
      <xdr:grpSpPr>
        <a:xfrm>
          <a:off x="136071" y="10471452"/>
          <a:ext cx="5836104" cy="1280842"/>
          <a:chOff x="595626" y="2809204"/>
          <a:chExt cx="5993413" cy="1291426"/>
        </a:xfrm>
      </xdr:grpSpPr>
      <xdr:sp macro="" textlink="">
        <xdr:nvSpPr>
          <xdr:cNvPr id="801" name="Rectangle: Diagonal Corners Rounded 435">
            <a:extLst>
              <a:ext uri="{FF2B5EF4-FFF2-40B4-BE49-F238E27FC236}">
                <a16:creationId xmlns:a16="http://schemas.microsoft.com/office/drawing/2014/main" id="{1B4978BE-C6E4-4BD1-5358-E14FCC064BD2}"/>
              </a:ext>
            </a:extLst>
          </xdr:cNvPr>
          <xdr:cNvSpPr/>
        </xdr:nvSpPr>
        <xdr:spPr>
          <a:xfrm>
            <a:off x="595626" y="2809204"/>
            <a:ext cx="5993413" cy="1291426"/>
          </a:xfrm>
          <a:prstGeom prst="round2DiagRect">
            <a:avLst/>
          </a:prstGeom>
          <a:noFill/>
          <a:ln w="38100">
            <a:solidFill>
              <a:srgbClr val="FF7A2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pic>
        <xdr:nvPicPr>
          <xdr:cNvPr id="802" name="Picture 436" descr="A black background with a black square">
            <a:extLst>
              <a:ext uri="{FF2B5EF4-FFF2-40B4-BE49-F238E27FC236}">
                <a16:creationId xmlns:a16="http://schemas.microsoft.com/office/drawing/2014/main" id="{FDC9AF36-EAE2-BB2E-B81B-332014156E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540" y="3259607"/>
            <a:ext cx="720000" cy="720000"/>
          </a:xfrm>
          <a:prstGeom prst="rect">
            <a:avLst/>
          </a:prstGeom>
        </xdr:spPr>
      </xdr:pic>
    </xdr:grpSp>
    <xdr:clientData/>
  </xdr:twoCellAnchor>
  <xdr:twoCellAnchor>
    <xdr:from>
      <xdr:col>0</xdr:col>
      <xdr:colOff>136071</xdr:colOff>
      <xdr:row>65</xdr:row>
      <xdr:rowOff>172358</xdr:rowOff>
    </xdr:from>
    <xdr:to>
      <xdr:col>9</xdr:col>
      <xdr:colOff>426358</xdr:colOff>
      <xdr:row>73</xdr:row>
      <xdr:rowOff>12355</xdr:rowOff>
    </xdr:to>
    <xdr:grpSp>
      <xdr:nvGrpSpPr>
        <xdr:cNvPr id="803" name="Group 443">
          <a:extLst>
            <a:ext uri="{FF2B5EF4-FFF2-40B4-BE49-F238E27FC236}">
              <a16:creationId xmlns:a16="http://schemas.microsoft.com/office/drawing/2014/main" id="{501204BD-D0A3-2C10-F48B-4063FCAE76AD}"/>
            </a:ext>
          </a:extLst>
        </xdr:cNvPr>
        <xdr:cNvGrpSpPr/>
      </xdr:nvGrpSpPr>
      <xdr:grpSpPr>
        <a:xfrm>
          <a:off x="136071" y="11866941"/>
          <a:ext cx="5817962" cy="1276156"/>
          <a:chOff x="595995" y="4321009"/>
          <a:chExt cx="5993043" cy="1291426"/>
        </a:xfrm>
      </xdr:grpSpPr>
      <xdr:sp macro="" textlink="">
        <xdr:nvSpPr>
          <xdr:cNvPr id="804" name="Rectangle: Diagonal Corners Rounded 444">
            <a:extLst>
              <a:ext uri="{FF2B5EF4-FFF2-40B4-BE49-F238E27FC236}">
                <a16:creationId xmlns:a16="http://schemas.microsoft.com/office/drawing/2014/main" id="{38E76FF8-11F7-B0CF-1E46-17FC2D191F80}"/>
              </a:ext>
            </a:extLst>
          </xdr:cNvPr>
          <xdr:cNvSpPr/>
        </xdr:nvSpPr>
        <xdr:spPr>
          <a:xfrm rot="5400000">
            <a:off x="2946804" y="1970200"/>
            <a:ext cx="1291426" cy="5993043"/>
          </a:xfrm>
          <a:prstGeom prst="round2DiagRect">
            <a:avLst/>
          </a:prstGeom>
          <a:noFill/>
          <a:ln w="38100">
            <a:solidFill>
              <a:srgbClr val="709117"/>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pic>
        <xdr:nvPicPr>
          <xdr:cNvPr id="805" name="Picture 445">
            <a:extLst>
              <a:ext uri="{FF2B5EF4-FFF2-40B4-BE49-F238E27FC236}">
                <a16:creationId xmlns:a16="http://schemas.microsoft.com/office/drawing/2014/main" id="{60D79C38-738F-9FDD-2369-FFD6F58D9DBA}"/>
              </a:ext>
            </a:extLst>
          </xdr:cNvPr>
          <xdr:cNvPicPr>
            <a:picLocks noChangeAspect="1"/>
          </xdr:cNvPicPr>
        </xdr:nvPicPr>
        <xdr:blipFill>
          <a:blip xmlns:r="http://schemas.openxmlformats.org/officeDocument/2006/relationships" r:embed="rId14" cstate="print">
            <a:biLevel thresh="75000"/>
            <a:extLst>
              <a:ext uri="{28A0092B-C50C-407E-A947-70E740481C1C}">
                <a14:useLocalDpi xmlns:a14="http://schemas.microsoft.com/office/drawing/2010/main" val="0"/>
              </a:ext>
            </a:extLst>
          </a:blip>
          <a:stretch>
            <a:fillRect/>
          </a:stretch>
        </xdr:blipFill>
        <xdr:spPr>
          <a:xfrm>
            <a:off x="857150" y="4791078"/>
            <a:ext cx="710390" cy="720000"/>
          </a:xfrm>
          <a:prstGeom prst="rect">
            <a:avLst/>
          </a:prstGeom>
        </xdr:spPr>
      </xdr:pic>
    </xdr:grpSp>
    <xdr:clientData/>
  </xdr:twoCellAnchor>
  <xdr:twoCellAnchor>
    <xdr:from>
      <xdr:col>0</xdr:col>
      <xdr:colOff>299357</xdr:colOff>
      <xdr:row>58</xdr:row>
      <xdr:rowOff>72572</xdr:rowOff>
    </xdr:from>
    <xdr:to>
      <xdr:col>1</xdr:col>
      <xdr:colOff>562428</xdr:colOff>
      <xdr:row>60</xdr:row>
      <xdr:rowOff>72572</xdr:rowOff>
    </xdr:to>
    <xdr:sp macro="" textlink="'Care Users'!B13">
      <xdr:nvSpPr>
        <xdr:cNvPr id="796" name="TextBox 872">
          <a:extLst>
            <a:ext uri="{FF2B5EF4-FFF2-40B4-BE49-F238E27FC236}">
              <a16:creationId xmlns:a16="http://schemas.microsoft.com/office/drawing/2014/main" id="{5C52117C-A346-54C2-DD37-6D29BF1FB3FF}"/>
            </a:ext>
          </a:extLst>
        </xdr:cNvPr>
        <xdr:cNvSpPr txBox="1"/>
      </xdr:nvSpPr>
      <xdr:spPr>
        <a:xfrm>
          <a:off x="299357" y="10595429"/>
          <a:ext cx="870857" cy="362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B29D7E88-1146-4FE3-90EA-BB2CA771885E}" type="TxLink">
            <a:rPr lang="en-US" sz="2000" b="1" i="0" u="none" strike="noStrike">
              <a:solidFill>
                <a:srgbClr val="FF7A26"/>
              </a:solidFill>
              <a:latin typeface="Arial" panose="020B0604020202020204" pitchFamily="34" charset="0"/>
              <a:cs typeface="Arial" panose="020B0604020202020204" pitchFamily="34" charset="0"/>
            </a:rPr>
            <a:pPr algn="ctr"/>
            <a:t>1.1%</a:t>
          </a:fld>
          <a:endParaRPr lang="en-GB" sz="1400">
            <a:latin typeface="Arial" panose="020B0604020202020204" pitchFamily="34" charset="0"/>
            <a:cs typeface="Arial" panose="020B0604020202020204" pitchFamily="34" charset="0"/>
          </a:endParaRPr>
        </a:p>
      </xdr:txBody>
    </xdr:sp>
    <xdr:clientData/>
  </xdr:twoCellAnchor>
  <xdr:twoCellAnchor>
    <xdr:from>
      <xdr:col>0</xdr:col>
      <xdr:colOff>308429</xdr:colOff>
      <xdr:row>66</xdr:row>
      <xdr:rowOff>63499</xdr:rowOff>
    </xdr:from>
    <xdr:to>
      <xdr:col>1</xdr:col>
      <xdr:colOff>571500</xdr:colOff>
      <xdr:row>68</xdr:row>
      <xdr:rowOff>63499</xdr:rowOff>
    </xdr:to>
    <xdr:sp macro="" textlink="'Care Users'!B14">
      <xdr:nvSpPr>
        <xdr:cNvPr id="806" name="TextBox 874">
          <a:extLst>
            <a:ext uri="{FF2B5EF4-FFF2-40B4-BE49-F238E27FC236}">
              <a16:creationId xmlns:a16="http://schemas.microsoft.com/office/drawing/2014/main" id="{50AA01D4-91D9-44F6-8715-3A3C7E53AB10}"/>
            </a:ext>
          </a:extLst>
        </xdr:cNvPr>
        <xdr:cNvSpPr txBox="1"/>
      </xdr:nvSpPr>
      <xdr:spPr>
        <a:xfrm>
          <a:off x="308429" y="12037785"/>
          <a:ext cx="870857" cy="362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05D88CA-BB21-4B82-9882-B0E80D20E4DF}" type="TxLink">
            <a:rPr lang="en-US" sz="2000" b="1" i="0" u="none" strike="noStrike">
              <a:solidFill>
                <a:srgbClr val="94C21F"/>
              </a:solidFill>
              <a:latin typeface="Arial" panose="020B0604020202020204" pitchFamily="34" charset="0"/>
              <a:cs typeface="Arial" panose="020B0604020202020204" pitchFamily="34" charset="0"/>
            </a:rPr>
            <a:pPr algn="ctr"/>
            <a:t>5.0%</a:t>
          </a:fld>
          <a:endParaRPr lang="en-GB" sz="1800">
            <a:latin typeface="Arial" panose="020B0604020202020204" pitchFamily="34" charset="0"/>
            <a:cs typeface="Arial" panose="020B0604020202020204" pitchFamily="34" charset="0"/>
          </a:endParaRPr>
        </a:p>
      </xdr:txBody>
    </xdr:sp>
    <xdr:clientData/>
  </xdr:twoCellAnchor>
  <xdr:twoCellAnchor>
    <xdr:from>
      <xdr:col>2</xdr:col>
      <xdr:colOff>8082</xdr:colOff>
      <xdr:row>58</xdr:row>
      <xdr:rowOff>77893</xdr:rowOff>
    </xdr:from>
    <xdr:to>
      <xdr:col>9</xdr:col>
      <xdr:colOff>560253</xdr:colOff>
      <xdr:row>60</xdr:row>
      <xdr:rowOff>165709</xdr:rowOff>
    </xdr:to>
    <xdr:sp macro="" textlink="'Care Users'!B18">
      <xdr:nvSpPr>
        <xdr:cNvPr id="6" name="TextBox 97">
          <a:extLst>
            <a:ext uri="{FF2B5EF4-FFF2-40B4-BE49-F238E27FC236}">
              <a16:creationId xmlns:a16="http://schemas.microsoft.com/office/drawing/2014/main" id="{E84690B0-15C8-C952-EC44-59BEF618690E}"/>
            </a:ext>
          </a:extLst>
        </xdr:cNvPr>
        <xdr:cNvSpPr txBox="1"/>
      </xdr:nvSpPr>
      <xdr:spPr>
        <a:xfrm>
          <a:off x="1218317" y="10476952"/>
          <a:ext cx="4787995" cy="446404"/>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A5E0E912-46DD-4DB5-A839-BB659E483AE9}" type="TxLink">
            <a:rPr lang="en-US" sz="1200" b="0" i="0" u="none" strike="noStrike">
              <a:solidFill>
                <a:srgbClr val="FF7A26"/>
              </a:solidFill>
              <a:latin typeface="Arial" panose="020B0604020202020204" pitchFamily="34" charset="0"/>
              <a:cs typeface="Arial" panose="020B0604020202020204" pitchFamily="34" charset="0"/>
            </a:rPr>
            <a:pPr algn="ctr"/>
            <a:t>of the population aged 18–64 (approximately 10,000 people) are accessing long-term support from their local authority</a:t>
          </a:fld>
          <a:endParaRPr lang="en-GB" sz="1400">
            <a:solidFill>
              <a:srgbClr val="FF7A26"/>
            </a:solidFill>
            <a:latin typeface="Arial" panose="020B0604020202020204" pitchFamily="34" charset="0"/>
            <a:cs typeface="Arial" panose="020B0604020202020204" pitchFamily="34" charset="0"/>
          </a:endParaRPr>
        </a:p>
      </xdr:txBody>
    </xdr:sp>
    <xdr:clientData/>
  </xdr:twoCellAnchor>
  <xdr:twoCellAnchor>
    <xdr:from>
      <xdr:col>2</xdr:col>
      <xdr:colOff>0</xdr:colOff>
      <xdr:row>66</xdr:row>
      <xdr:rowOff>1556</xdr:rowOff>
    </xdr:from>
    <xdr:to>
      <xdr:col>9</xdr:col>
      <xdr:colOff>409023</xdr:colOff>
      <xdr:row>68</xdr:row>
      <xdr:rowOff>83525</xdr:rowOff>
    </xdr:to>
    <xdr:sp macro="" textlink="'Care Users'!B19">
      <xdr:nvSpPr>
        <xdr:cNvPr id="8" name="TextBox 97">
          <a:extLst>
            <a:ext uri="{FF2B5EF4-FFF2-40B4-BE49-F238E27FC236}">
              <a16:creationId xmlns:a16="http://schemas.microsoft.com/office/drawing/2014/main" id="{798FD408-F618-4B95-A34F-B83B00CB3641}"/>
            </a:ext>
          </a:extLst>
        </xdr:cNvPr>
        <xdr:cNvSpPr txBox="1"/>
      </xdr:nvSpPr>
      <xdr:spPr>
        <a:xfrm>
          <a:off x="1225826" y="12027904"/>
          <a:ext cx="4699414" cy="446404"/>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995CCA91-68B6-45C9-BC0D-01B83745A49B}" type="TxLink">
            <a:rPr lang="en-US" sz="1200" b="0" i="0" u="none" strike="noStrike">
              <a:solidFill>
                <a:srgbClr val="94C21F"/>
              </a:solidFill>
              <a:latin typeface="Arial" panose="020B0604020202020204" pitchFamily="34" charset="0"/>
              <a:cs typeface="Arial" panose="020B0604020202020204" pitchFamily="34" charset="0"/>
            </a:rPr>
            <a:pPr algn="ctr"/>
            <a:t>of the population aged 65 and over (approximately 10,000 people) are accessing long-term support from their local authority</a:t>
          </a:fld>
          <a:endParaRPr lang="en-GB" sz="1600">
            <a:solidFill>
              <a:srgbClr val="FF7A26"/>
            </a:solidFill>
            <a:latin typeface="Arial" panose="020B0604020202020204" pitchFamily="34" charset="0"/>
            <a:cs typeface="Arial" panose="020B0604020202020204" pitchFamily="34" charset="0"/>
          </a:endParaRPr>
        </a:p>
      </xdr:txBody>
    </xdr:sp>
    <xdr:clientData/>
  </xdr:twoCellAnchor>
  <xdr:twoCellAnchor>
    <xdr:from>
      <xdr:col>1</xdr:col>
      <xdr:colOff>580449</xdr:colOff>
      <xdr:row>60</xdr:row>
      <xdr:rowOff>161926</xdr:rowOff>
    </xdr:from>
    <xdr:to>
      <xdr:col>9</xdr:col>
      <xdr:colOff>303358</xdr:colOff>
      <xdr:row>64</xdr:row>
      <xdr:rowOff>158751</xdr:rowOff>
    </xdr:to>
    <xdr:graphicFrame macro="">
      <xdr:nvGraphicFramePr>
        <xdr:cNvPr id="11" name="Chart 10">
          <a:extLst>
            <a:ext uri="{FF2B5EF4-FFF2-40B4-BE49-F238E27FC236}">
              <a16:creationId xmlns:a16="http://schemas.microsoft.com/office/drawing/2014/main" id="{F2DFC89F-E9FE-410B-9960-D8985AEF85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xdr:col>
      <xdr:colOff>-1</xdr:colOff>
      <xdr:row>68</xdr:row>
      <xdr:rowOff>57727</xdr:rowOff>
    </xdr:from>
    <xdr:to>
      <xdr:col>9</xdr:col>
      <xdr:colOff>332220</xdr:colOff>
      <xdr:row>72</xdr:row>
      <xdr:rowOff>72159</xdr:rowOff>
    </xdr:to>
    <xdr:graphicFrame macro="">
      <xdr:nvGraphicFramePr>
        <xdr:cNvPr id="34" name="Chart 33">
          <a:extLst>
            <a:ext uri="{FF2B5EF4-FFF2-40B4-BE49-F238E27FC236}">
              <a16:creationId xmlns:a16="http://schemas.microsoft.com/office/drawing/2014/main" id="{84329EDF-E433-43EF-801D-239DC8B0CF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161925</xdr:colOff>
      <xdr:row>73</xdr:row>
      <xdr:rowOff>161926</xdr:rowOff>
    </xdr:from>
    <xdr:to>
      <xdr:col>3</xdr:col>
      <xdr:colOff>168835</xdr:colOff>
      <xdr:row>81</xdr:row>
      <xdr:rowOff>28863</xdr:rowOff>
    </xdr:to>
    <xdr:sp macro="" textlink="">
      <xdr:nvSpPr>
        <xdr:cNvPr id="37" name="Rectangle: Diagonal Corners Rounded 36">
          <a:extLst>
            <a:ext uri="{FF2B5EF4-FFF2-40B4-BE49-F238E27FC236}">
              <a16:creationId xmlns:a16="http://schemas.microsoft.com/office/drawing/2014/main" id="{C7DABFFC-BE57-3596-2726-2F7718B2482D}"/>
            </a:ext>
          </a:extLst>
        </xdr:cNvPr>
        <xdr:cNvSpPr/>
      </xdr:nvSpPr>
      <xdr:spPr>
        <a:xfrm>
          <a:off x="161925" y="13857721"/>
          <a:ext cx="1825319" cy="1367847"/>
        </a:xfrm>
        <a:prstGeom prst="round2DiagRect">
          <a:avLst/>
        </a:prstGeom>
        <a:noFill/>
        <a:ln w="28575">
          <a:solidFill>
            <a:srgbClr val="6E003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0</xdr:col>
      <xdr:colOff>259773</xdr:colOff>
      <xdr:row>74</xdr:row>
      <xdr:rowOff>86592</xdr:rowOff>
    </xdr:from>
    <xdr:to>
      <xdr:col>3</xdr:col>
      <xdr:colOff>141559</xdr:colOff>
      <xdr:row>80</xdr:row>
      <xdr:rowOff>101023</xdr:rowOff>
    </xdr:to>
    <xdr:sp macro="" textlink="">
      <xdr:nvSpPr>
        <xdr:cNvPr id="38" name="TextBox 20">
          <a:extLst>
            <a:ext uri="{FF2B5EF4-FFF2-40B4-BE49-F238E27FC236}">
              <a16:creationId xmlns:a16="http://schemas.microsoft.com/office/drawing/2014/main" id="{4A205F22-E145-A23A-302C-877D17A8E644}"/>
            </a:ext>
          </a:extLst>
        </xdr:cNvPr>
        <xdr:cNvSpPr txBox="1"/>
      </xdr:nvSpPr>
      <xdr:spPr>
        <a:xfrm>
          <a:off x="259773" y="13970001"/>
          <a:ext cx="1700195" cy="1140113"/>
        </a:xfrm>
        <a:prstGeom prst="rect">
          <a:avLst/>
        </a:prstGeom>
        <a:no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en-GB" sz="1400" b="0" i="0">
              <a:solidFill>
                <a:srgbClr val="2E2659"/>
              </a:solidFill>
              <a:effectLst/>
              <a:latin typeface="Arial" panose="020B0604020202020204" pitchFamily="34" charset="0"/>
              <a:cs typeface="Arial" panose="020B0604020202020204" pitchFamily="34" charset="0"/>
            </a:rPr>
            <a:t>The needs of people needing social care support are becoming more complex</a:t>
          </a:r>
          <a:endParaRPr lang="en-GB" sz="1400">
            <a:solidFill>
              <a:srgbClr val="2E2659"/>
            </a:solidFill>
            <a:latin typeface="Arial" panose="020B0604020202020204" pitchFamily="34" charset="0"/>
            <a:cs typeface="Arial" panose="020B0604020202020204" pitchFamily="34" charset="0"/>
          </a:endParaRPr>
        </a:p>
      </xdr:txBody>
    </xdr:sp>
    <xdr:clientData/>
  </xdr:twoCellAnchor>
  <xdr:twoCellAnchor>
    <xdr:from>
      <xdr:col>3</xdr:col>
      <xdr:colOff>309419</xdr:colOff>
      <xdr:row>73</xdr:row>
      <xdr:rowOff>144319</xdr:rowOff>
    </xdr:from>
    <xdr:to>
      <xdr:col>7</xdr:col>
      <xdr:colOff>97355</xdr:colOff>
      <xdr:row>80</xdr:row>
      <xdr:rowOff>178088</xdr:rowOff>
    </xdr:to>
    <xdr:sp macro="" textlink="">
      <xdr:nvSpPr>
        <xdr:cNvPr id="39" name="Rectangle: Diagonal Corners Rounded 38">
          <a:extLst>
            <a:ext uri="{FF2B5EF4-FFF2-40B4-BE49-F238E27FC236}">
              <a16:creationId xmlns:a16="http://schemas.microsoft.com/office/drawing/2014/main" id="{62DC037D-8381-727F-4515-322C9A803047}"/>
            </a:ext>
          </a:extLst>
        </xdr:cNvPr>
        <xdr:cNvSpPr/>
      </xdr:nvSpPr>
      <xdr:spPr>
        <a:xfrm>
          <a:off x="2127828" y="13840114"/>
          <a:ext cx="2212482" cy="1347065"/>
        </a:xfrm>
        <a:prstGeom prst="round2DiagRect">
          <a:avLst/>
        </a:prstGeom>
        <a:noFill/>
        <a:ln w="28575">
          <a:solidFill>
            <a:srgbClr val="6E003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3</xdr:col>
      <xdr:colOff>415349</xdr:colOff>
      <xdr:row>73</xdr:row>
      <xdr:rowOff>181265</xdr:rowOff>
    </xdr:from>
    <xdr:to>
      <xdr:col>7</xdr:col>
      <xdr:colOff>208395</xdr:colOff>
      <xdr:row>80</xdr:row>
      <xdr:rowOff>141143</xdr:rowOff>
    </xdr:to>
    <xdr:sp macro="" textlink="">
      <xdr:nvSpPr>
        <xdr:cNvPr id="40" name="TextBox 21">
          <a:extLst>
            <a:ext uri="{FF2B5EF4-FFF2-40B4-BE49-F238E27FC236}">
              <a16:creationId xmlns:a16="http://schemas.microsoft.com/office/drawing/2014/main" id="{53090760-66BF-C7B2-D222-BD4D0E8F8463}"/>
            </a:ext>
          </a:extLst>
        </xdr:cNvPr>
        <xdr:cNvSpPr txBox="1"/>
      </xdr:nvSpPr>
      <xdr:spPr>
        <a:xfrm>
          <a:off x="2233758" y="13877060"/>
          <a:ext cx="2217592" cy="1273174"/>
        </a:xfrm>
        <a:prstGeom prst="rect">
          <a:avLst/>
        </a:prstGeom>
        <a:no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en-GB" sz="1400">
              <a:solidFill>
                <a:srgbClr val="2E2659"/>
              </a:solidFill>
              <a:latin typeface="Arial" panose="020B0604020202020204" pitchFamily="34" charset="0"/>
              <a:cs typeface="Arial" panose="020B0604020202020204" pitchFamily="34" charset="0"/>
            </a:rPr>
            <a:t>The majority of people continue to be cared for in their homes, many by family and friends with some support from their council</a:t>
          </a:r>
        </a:p>
      </xdr:txBody>
    </xdr:sp>
    <xdr:clientData/>
  </xdr:twoCellAnchor>
  <xdr:twoCellAnchor>
    <xdr:from>
      <xdr:col>7</xdr:col>
      <xdr:colOff>216477</xdr:colOff>
      <xdr:row>73</xdr:row>
      <xdr:rowOff>94674</xdr:rowOff>
    </xdr:from>
    <xdr:to>
      <xdr:col>9</xdr:col>
      <xdr:colOff>454473</xdr:colOff>
      <xdr:row>81</xdr:row>
      <xdr:rowOff>0</xdr:rowOff>
    </xdr:to>
    <xdr:sp macro="" textlink="">
      <xdr:nvSpPr>
        <xdr:cNvPr id="41" name="Rectangle: Diagonal Corners Rounded 40">
          <a:extLst>
            <a:ext uri="{FF2B5EF4-FFF2-40B4-BE49-F238E27FC236}">
              <a16:creationId xmlns:a16="http://schemas.microsoft.com/office/drawing/2014/main" id="{1CA7BD0E-0965-DB2A-A54B-DE927A76EA4D}"/>
            </a:ext>
          </a:extLst>
        </xdr:cNvPr>
        <xdr:cNvSpPr/>
      </xdr:nvSpPr>
      <xdr:spPr>
        <a:xfrm>
          <a:off x="4459432" y="13790469"/>
          <a:ext cx="1450268" cy="1406236"/>
        </a:xfrm>
        <a:prstGeom prst="round2DiagRect">
          <a:avLst/>
        </a:prstGeom>
        <a:noFill/>
        <a:ln w="28575">
          <a:solidFill>
            <a:srgbClr val="6E003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7</xdr:col>
      <xdr:colOff>173182</xdr:colOff>
      <xdr:row>74</xdr:row>
      <xdr:rowOff>57727</xdr:rowOff>
    </xdr:from>
    <xdr:to>
      <xdr:col>9</xdr:col>
      <xdr:colOff>516006</xdr:colOff>
      <xdr:row>80</xdr:row>
      <xdr:rowOff>56712</xdr:rowOff>
    </xdr:to>
    <xdr:sp macro="" textlink="">
      <xdr:nvSpPr>
        <xdr:cNvPr id="42" name="TextBox 18">
          <a:extLst>
            <a:ext uri="{FF2B5EF4-FFF2-40B4-BE49-F238E27FC236}">
              <a16:creationId xmlns:a16="http://schemas.microsoft.com/office/drawing/2014/main" id="{F3A5151C-105E-E044-8D8F-6EAFFB5C96DB}"/>
            </a:ext>
          </a:extLst>
        </xdr:cNvPr>
        <xdr:cNvSpPr txBox="1"/>
      </xdr:nvSpPr>
      <xdr:spPr>
        <a:xfrm>
          <a:off x="4416137" y="13941136"/>
          <a:ext cx="1555096" cy="1124667"/>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en-GB" sz="1400">
              <a:solidFill>
                <a:srgbClr val="2E2659"/>
              </a:solidFill>
              <a:latin typeface="Arial" panose="020B0604020202020204" pitchFamily="34" charset="0"/>
              <a:cs typeface="Arial" panose="020B0604020202020204" pitchFamily="34" charset="0"/>
            </a:rPr>
            <a:t>Still, a</a:t>
          </a:r>
          <a:r>
            <a:rPr lang="en-GB" sz="1400" b="0" i="0">
              <a:solidFill>
                <a:srgbClr val="2E2659"/>
              </a:solidFill>
              <a:effectLst/>
              <a:latin typeface="Arial" panose="020B0604020202020204" pitchFamily="34" charset="0"/>
              <a:cs typeface="Arial" panose="020B0604020202020204" pitchFamily="34" charset="0"/>
            </a:rPr>
            <a:t>round 3 out of 4 adults age 65+ will</a:t>
          </a:r>
          <a:r>
            <a:rPr lang="en-GB" sz="1400" i="0">
              <a:solidFill>
                <a:srgbClr val="2E2659"/>
              </a:solidFill>
              <a:effectLst/>
              <a:latin typeface="Arial" panose="020B0604020202020204" pitchFamily="34" charset="0"/>
              <a:cs typeface="Arial" panose="020B0604020202020204" pitchFamily="34" charset="0"/>
            </a:rPr>
            <a:t> face care costs in their lifetime</a:t>
          </a:r>
          <a:endParaRPr lang="en-GB" sz="1400">
            <a:solidFill>
              <a:srgbClr val="2E2659"/>
            </a:solidFill>
            <a:latin typeface="Arial" panose="020B0604020202020204" pitchFamily="34" charset="0"/>
            <a:cs typeface="Arial" panose="020B0604020202020204" pitchFamily="34" charset="0"/>
          </a:endParaRPr>
        </a:p>
      </xdr:txBody>
    </xdr:sp>
    <xdr:clientData/>
  </xdr:twoCellAnchor>
  <xdr:twoCellAnchor>
    <xdr:from>
      <xdr:col>0</xdr:col>
      <xdr:colOff>126712</xdr:colOff>
      <xdr:row>88</xdr:row>
      <xdr:rowOff>86590</xdr:rowOff>
    </xdr:from>
    <xdr:to>
      <xdr:col>2</xdr:col>
      <xdr:colOff>537153</xdr:colOff>
      <xdr:row>96</xdr:row>
      <xdr:rowOff>76337</xdr:rowOff>
    </xdr:to>
    <xdr:sp macro="" textlink="">
      <xdr:nvSpPr>
        <xdr:cNvPr id="33" name="Rectangle: Rounded Corners 42">
          <a:extLst>
            <a:ext uri="{FF2B5EF4-FFF2-40B4-BE49-F238E27FC236}">
              <a16:creationId xmlns:a16="http://schemas.microsoft.com/office/drawing/2014/main" id="{370BA230-2EB8-E63D-AF77-F54C14113E36}"/>
            </a:ext>
          </a:extLst>
        </xdr:cNvPr>
        <xdr:cNvSpPr/>
      </xdr:nvSpPr>
      <xdr:spPr>
        <a:xfrm>
          <a:off x="126712" y="16596590"/>
          <a:ext cx="1622714" cy="1490656"/>
        </a:xfrm>
        <a:prstGeom prst="roundRect">
          <a:avLst/>
        </a:prstGeom>
        <a:solidFill>
          <a:srgbClr val="2E2659"/>
        </a:solidFill>
        <a:ln w="38100">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0</xdr:col>
      <xdr:colOff>216476</xdr:colOff>
      <xdr:row>88</xdr:row>
      <xdr:rowOff>81489</xdr:rowOff>
    </xdr:from>
    <xdr:to>
      <xdr:col>3</xdr:col>
      <xdr:colOff>19338</xdr:colOff>
      <xdr:row>96</xdr:row>
      <xdr:rowOff>89198</xdr:rowOff>
    </xdr:to>
    <xdr:sp macro="" textlink="">
      <xdr:nvSpPr>
        <xdr:cNvPr id="44" name="TextBox 16">
          <a:extLst>
            <a:ext uri="{FF2B5EF4-FFF2-40B4-BE49-F238E27FC236}">
              <a16:creationId xmlns:a16="http://schemas.microsoft.com/office/drawing/2014/main" id="{23AE8E20-FAD6-DFA4-BF03-6F3E2574A454}"/>
            </a:ext>
          </a:extLst>
        </xdr:cNvPr>
        <xdr:cNvSpPr txBox="1"/>
      </xdr:nvSpPr>
      <xdr:spPr>
        <a:xfrm>
          <a:off x="216476" y="16591489"/>
          <a:ext cx="1621271" cy="1508618"/>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1200">
              <a:solidFill>
                <a:schemeClr val="bg1"/>
              </a:solidFill>
              <a:latin typeface="Arial" panose="020B0604020202020204" pitchFamily="34" charset="0"/>
              <a:cs typeface="Arial" panose="020B0604020202020204" pitchFamily="34" charset="0"/>
            </a:rPr>
            <a:t>Satisfaction levels and feelings of safety have remained consistent over time, despite the additional pressures services are facing. </a:t>
          </a:r>
        </a:p>
      </xdr:txBody>
    </xdr:sp>
    <xdr:clientData/>
  </xdr:twoCellAnchor>
  <xdr:twoCellAnchor>
    <xdr:from>
      <xdr:col>3</xdr:col>
      <xdr:colOff>115454</xdr:colOff>
      <xdr:row>87</xdr:row>
      <xdr:rowOff>101022</xdr:rowOff>
    </xdr:from>
    <xdr:to>
      <xdr:col>9</xdr:col>
      <xdr:colOff>476250</xdr:colOff>
      <xdr:row>97</xdr:row>
      <xdr:rowOff>28863</xdr:rowOff>
    </xdr:to>
    <xdr:graphicFrame macro="">
      <xdr:nvGraphicFramePr>
        <xdr:cNvPr id="47" name="Chart 45">
          <a:extLst>
            <a:ext uri="{FF2B5EF4-FFF2-40B4-BE49-F238E27FC236}">
              <a16:creationId xmlns:a16="http://schemas.microsoft.com/office/drawing/2014/main" id="{B7FD4036-34F8-4E34-B071-09E46781B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178664</xdr:colOff>
      <xdr:row>81</xdr:row>
      <xdr:rowOff>174623</xdr:rowOff>
    </xdr:from>
    <xdr:to>
      <xdr:col>7</xdr:col>
      <xdr:colOff>141142</xdr:colOff>
      <xdr:row>87</xdr:row>
      <xdr:rowOff>187613</xdr:rowOff>
    </xdr:to>
    <xdr:sp macro="" textlink="'Care Users'!B16">
      <xdr:nvSpPr>
        <xdr:cNvPr id="35" name="TextBox 34">
          <a:extLst>
            <a:ext uri="{FF2B5EF4-FFF2-40B4-BE49-F238E27FC236}">
              <a16:creationId xmlns:a16="http://schemas.microsoft.com/office/drawing/2014/main" id="{44DC4CA8-E003-CCF7-05EE-9B4F8980AB7F}"/>
            </a:ext>
          </a:extLst>
        </xdr:cNvPr>
        <xdr:cNvSpPr txBox="1"/>
      </xdr:nvSpPr>
      <xdr:spPr>
        <a:xfrm>
          <a:off x="178664" y="15371328"/>
          <a:ext cx="4205433" cy="1138671"/>
        </a:xfrm>
        <a:prstGeom prst="rect">
          <a:avLst/>
        </a:prstGeom>
        <a:solidFill>
          <a:schemeClr val="lt1"/>
        </a:solidFill>
        <a:ln w="38100" cmpd="sng">
          <a:solidFill>
            <a:srgbClr val="941C8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53666FFF-6987-4213-9DA5-489D913BB040}" type="TxLink">
            <a:rPr lang="en-US" sz="1600" b="0" i="0" u="none" strike="noStrike">
              <a:solidFill>
                <a:srgbClr val="941C82"/>
              </a:solidFill>
              <a:latin typeface="Arial" panose="020B0604020202020204" pitchFamily="34" charset="0"/>
              <a:cs typeface="Arial" panose="020B0604020202020204" pitchFamily="34" charset="0"/>
            </a:rPr>
            <a:pPr/>
            <a:t>There are 10,335 care home beds in Norfolk, an increase of 3.2% from 2023/24</a:t>
          </a:fld>
          <a:endParaRPr lang="en-GB" sz="1600">
            <a:latin typeface="Arial" panose="020B0604020202020204" pitchFamily="34" charset="0"/>
            <a:cs typeface="Arial" panose="020B0604020202020204" pitchFamily="34" charset="0"/>
          </a:endParaRPr>
        </a:p>
      </xdr:txBody>
    </xdr:sp>
    <xdr:clientData/>
  </xdr:twoCellAnchor>
  <xdr:twoCellAnchor editAs="oneCell">
    <xdr:from>
      <xdr:col>7</xdr:col>
      <xdr:colOff>266124</xdr:colOff>
      <xdr:row>81</xdr:row>
      <xdr:rowOff>115453</xdr:rowOff>
    </xdr:from>
    <xdr:to>
      <xdr:col>9</xdr:col>
      <xdr:colOff>360796</xdr:colOff>
      <xdr:row>88</xdr:row>
      <xdr:rowOff>47697</xdr:rowOff>
    </xdr:to>
    <xdr:pic>
      <xdr:nvPicPr>
        <xdr:cNvPr id="36" name="Picture 35">
          <a:extLst>
            <a:ext uri="{FF2B5EF4-FFF2-40B4-BE49-F238E27FC236}">
              <a16:creationId xmlns:a16="http://schemas.microsoft.com/office/drawing/2014/main" id="{6D772F97-99B9-B55D-A654-98058D92545E}"/>
            </a:ext>
          </a:extLst>
        </xdr:cNvPr>
        <xdr:cNvPicPr>
          <a:picLocks noChangeAspect="1"/>
        </xdr:cNvPicPr>
      </xdr:nvPicPr>
      <xdr:blipFill>
        <a:blip xmlns:r="http://schemas.openxmlformats.org/officeDocument/2006/relationships" r:embed="rId18"/>
        <a:stretch>
          <a:fillRect/>
        </a:stretch>
      </xdr:blipFill>
      <xdr:spPr>
        <a:xfrm>
          <a:off x="4509079" y="15312158"/>
          <a:ext cx="1306944" cy="1242364"/>
        </a:xfrm>
        <a:prstGeom prst="rect">
          <a:avLst/>
        </a:prstGeom>
        <a:solidFill>
          <a:srgbClr val="6E0036"/>
        </a:solidFill>
      </xdr:spPr>
    </xdr:pic>
    <xdr:clientData/>
  </xdr:twoCellAnchor>
  <xdr:twoCellAnchor>
    <xdr:from>
      <xdr:col>0</xdr:col>
      <xdr:colOff>57151</xdr:colOff>
      <xdr:row>100</xdr:row>
      <xdr:rowOff>13669</xdr:rowOff>
    </xdr:from>
    <xdr:to>
      <xdr:col>5</xdr:col>
      <xdr:colOff>196296</xdr:colOff>
      <xdr:row>107</xdr:row>
      <xdr:rowOff>46471</xdr:rowOff>
    </xdr:to>
    <xdr:grpSp>
      <xdr:nvGrpSpPr>
        <xdr:cNvPr id="56" name="Group 113">
          <a:extLst>
            <a:ext uri="{FF2B5EF4-FFF2-40B4-BE49-F238E27FC236}">
              <a16:creationId xmlns:a16="http://schemas.microsoft.com/office/drawing/2014/main" id="{5CDCDA7E-C4DD-4A17-958F-D914BBD96AF6}"/>
            </a:ext>
          </a:extLst>
        </xdr:cNvPr>
        <xdr:cNvGrpSpPr/>
      </xdr:nvGrpSpPr>
      <xdr:grpSpPr>
        <a:xfrm>
          <a:off x="57151" y="18002161"/>
          <a:ext cx="3211487" cy="1298568"/>
          <a:chOff x="811729" y="1721243"/>
          <a:chExt cx="3190594" cy="1914993"/>
        </a:xfrm>
      </xdr:grpSpPr>
      <xdr:sp macro="" textlink="">
        <xdr:nvSpPr>
          <xdr:cNvPr id="57" name="Rectangle: Rounded Corners 114">
            <a:extLst>
              <a:ext uri="{FF2B5EF4-FFF2-40B4-BE49-F238E27FC236}">
                <a16:creationId xmlns:a16="http://schemas.microsoft.com/office/drawing/2014/main" id="{CE90D59A-DC42-938D-C438-2254527DA154}"/>
              </a:ext>
            </a:extLst>
          </xdr:cNvPr>
          <xdr:cNvSpPr/>
        </xdr:nvSpPr>
        <xdr:spPr>
          <a:xfrm>
            <a:off x="811729" y="1721243"/>
            <a:ext cx="3143708" cy="1914993"/>
          </a:xfrm>
          <a:prstGeom prst="roundRect">
            <a:avLst/>
          </a:prstGeom>
          <a:solidFill>
            <a:srgbClr val="AB4A99"/>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600">
              <a:highlight>
                <a:srgbClr val="FFFF00"/>
              </a:highlight>
              <a:latin typeface="Arial" panose="020B0604020202020204" pitchFamily="34" charset="0"/>
              <a:cs typeface="Arial" panose="020B0604020202020204" pitchFamily="34" charset="0"/>
            </a:endParaRPr>
          </a:p>
        </xdr:txBody>
      </xdr:sp>
      <xdr:sp macro="" textlink="">
        <xdr:nvSpPr>
          <xdr:cNvPr id="59" name="Arrow: Up 116">
            <a:extLst>
              <a:ext uri="{FF2B5EF4-FFF2-40B4-BE49-F238E27FC236}">
                <a16:creationId xmlns:a16="http://schemas.microsoft.com/office/drawing/2014/main" id="{43206557-C257-FDF4-6B2C-86438F2B2B49}"/>
              </a:ext>
            </a:extLst>
          </xdr:cNvPr>
          <xdr:cNvSpPr/>
        </xdr:nvSpPr>
        <xdr:spPr>
          <a:xfrm>
            <a:off x="881648" y="1841030"/>
            <a:ext cx="802243" cy="1656714"/>
          </a:xfrm>
          <a:prstGeom prst="upArrow">
            <a:avLst/>
          </a:prstGeom>
          <a:solidFill>
            <a:srgbClr val="AB4A99"/>
          </a:solidFill>
          <a:ln w="28575">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600">
              <a:highlight>
                <a:srgbClr val="FFFF00"/>
              </a:highlight>
              <a:latin typeface="Arial" panose="020B0604020202020204" pitchFamily="34" charset="0"/>
              <a:cs typeface="Arial" panose="020B0604020202020204" pitchFamily="34" charset="0"/>
            </a:endParaRPr>
          </a:p>
        </xdr:txBody>
      </xdr:sp>
      <xdr:pic>
        <xdr:nvPicPr>
          <xdr:cNvPr id="60" name="Picture 117">
            <a:extLst>
              <a:ext uri="{FF2B5EF4-FFF2-40B4-BE49-F238E27FC236}">
                <a16:creationId xmlns:a16="http://schemas.microsoft.com/office/drawing/2014/main" id="{071C0ED9-49E5-A3CF-28C3-9C36C66F3CC2}"/>
              </a:ext>
            </a:extLst>
          </xdr:cNvPr>
          <xdr:cNvPicPr>
            <a:picLocks noChangeAspect="1"/>
          </xdr:cNvPicPr>
        </xdr:nvPicPr>
        <xdr:blipFill>
          <a:blip xmlns:r="http://schemas.openxmlformats.org/officeDocument/2006/relationships" r:embed="rId19" cstate="print">
            <a:biLevel thresh="25000"/>
            <a:extLst>
              <a:ext uri="{28A0092B-C50C-407E-A947-70E740481C1C}">
                <a14:useLocalDpi xmlns:a14="http://schemas.microsoft.com/office/drawing/2010/main" val="0"/>
              </a:ext>
            </a:extLst>
          </a:blip>
          <a:stretch>
            <a:fillRect/>
          </a:stretch>
        </xdr:blipFill>
        <xdr:spPr>
          <a:xfrm>
            <a:off x="1095035" y="2576528"/>
            <a:ext cx="380358" cy="481975"/>
          </a:xfrm>
          <a:prstGeom prst="rect">
            <a:avLst/>
          </a:prstGeom>
        </xdr:spPr>
      </xdr:pic>
      <xdr:sp macro="" textlink="Finance!B5">
        <xdr:nvSpPr>
          <xdr:cNvPr id="58" name="TextBox 1">
            <a:extLst>
              <a:ext uri="{FF2B5EF4-FFF2-40B4-BE49-F238E27FC236}">
                <a16:creationId xmlns:a16="http://schemas.microsoft.com/office/drawing/2014/main" id="{223B2918-0C50-888F-6B66-51FD0A78ABB6}"/>
              </a:ext>
            </a:extLst>
          </xdr:cNvPr>
          <xdr:cNvSpPr txBox="1"/>
        </xdr:nvSpPr>
        <xdr:spPr>
          <a:xfrm>
            <a:off x="1756530" y="1743206"/>
            <a:ext cx="2245793" cy="1083823"/>
          </a:xfrm>
          <a:prstGeom prst="rect">
            <a:avLst/>
          </a:prstGeom>
          <a:no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94D04334-9C54-449D-8CC7-9BC91DB6B2CA}" type="TxLink">
              <a:rPr lang="en-US" sz="1200" b="0" i="0" u="none" strike="noStrike">
                <a:solidFill>
                  <a:schemeClr val="bg1"/>
                </a:solidFill>
                <a:effectLst/>
                <a:latin typeface="Arial" panose="020B0604020202020204" pitchFamily="34" charset="0"/>
                <a:ea typeface="Times New Roman" panose="02020603050405020304" pitchFamily="18" charset="0"/>
                <a:cs typeface="Arial" panose="020B0604020202020204" pitchFamily="34" charset="0"/>
              </a:rPr>
              <a:pPr algn="ctr"/>
              <a:t>Gross total expenditure equalled £548.7 million in 2024/25 in Norfolk</a:t>
            </a:fld>
            <a:endParaRPr lang="en-GB" sz="800">
              <a:solidFill>
                <a:schemeClr val="bg1"/>
              </a:solidFill>
              <a:latin typeface="Arial" panose="020B0604020202020204" pitchFamily="34" charset="0"/>
              <a:ea typeface="Times New Roman" panose="02020603050405020304" pitchFamily="18" charset="0"/>
              <a:cs typeface="Arial" panose="020B0604020202020204" pitchFamily="34" charset="0"/>
            </a:endParaRPr>
          </a:p>
        </xdr:txBody>
      </xdr:sp>
    </xdr:grpSp>
    <xdr:clientData/>
  </xdr:twoCellAnchor>
  <xdr:twoCellAnchor>
    <xdr:from>
      <xdr:col>1</xdr:col>
      <xdr:colOff>352425</xdr:colOff>
      <xdr:row>104</xdr:row>
      <xdr:rowOff>30306</xdr:rowOff>
    </xdr:from>
    <xdr:to>
      <xdr:col>5</xdr:col>
      <xdr:colOff>159818</xdr:colOff>
      <xdr:row>106</xdr:row>
      <xdr:rowOff>112856</xdr:rowOff>
    </xdr:to>
    <xdr:sp macro="" textlink="Finance!B6">
      <xdr:nvSpPr>
        <xdr:cNvPr id="61" name="TextBox 1">
          <a:extLst>
            <a:ext uri="{FF2B5EF4-FFF2-40B4-BE49-F238E27FC236}">
              <a16:creationId xmlns:a16="http://schemas.microsoft.com/office/drawing/2014/main" id="{5581EBAB-24C7-4816-A2C4-B5532682909A}"/>
            </a:ext>
          </a:extLst>
        </xdr:cNvPr>
        <xdr:cNvSpPr txBox="1"/>
      </xdr:nvSpPr>
      <xdr:spPr>
        <a:xfrm>
          <a:off x="958561" y="19542124"/>
          <a:ext cx="2231939" cy="457777"/>
        </a:xfrm>
        <a:prstGeom prst="rect">
          <a:avLst/>
        </a:prstGeom>
        <a:no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FC67D919-16E3-4657-9D30-581B803FABE6}" type="TxLink">
            <a:rPr lang="en-US" sz="1200" b="0" i="0" u="none" strike="noStrike">
              <a:solidFill>
                <a:schemeClr val="bg1"/>
              </a:solidFill>
              <a:effectLst/>
              <a:latin typeface="Arial" panose="020B0604020202020204" pitchFamily="34" charset="0"/>
              <a:ea typeface="Times New Roman" panose="02020603050405020304" pitchFamily="18" charset="0"/>
              <a:cs typeface="Arial" panose="020B0604020202020204" pitchFamily="34" charset="0"/>
            </a:rPr>
            <a:pPr algn="ctr"/>
            <a:t>An increase of 6.4% on 2023/24</a:t>
          </a:fld>
          <a:endParaRPr lang="en-GB" sz="1200">
            <a:solidFill>
              <a:schemeClr val="bg1"/>
            </a:solidFill>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7</xdr:col>
      <xdr:colOff>8082</xdr:colOff>
      <xdr:row>100</xdr:row>
      <xdr:rowOff>140853</xdr:rowOff>
    </xdr:from>
    <xdr:to>
      <xdr:col>9</xdr:col>
      <xdr:colOff>427181</xdr:colOff>
      <xdr:row>103</xdr:row>
      <xdr:rowOff>3136</xdr:rowOff>
    </xdr:to>
    <xdr:sp macro="" textlink="Finance!B7">
      <xdr:nvSpPr>
        <xdr:cNvPr id="62" name="TextBox 66">
          <a:extLst>
            <a:ext uri="{FF2B5EF4-FFF2-40B4-BE49-F238E27FC236}">
              <a16:creationId xmlns:a16="http://schemas.microsoft.com/office/drawing/2014/main" id="{E695FC4A-4AAF-4F2A-A6A7-B4B8587CFF88}"/>
            </a:ext>
          </a:extLst>
        </xdr:cNvPr>
        <xdr:cNvSpPr txBox="1"/>
      </xdr:nvSpPr>
      <xdr:spPr>
        <a:xfrm>
          <a:off x="4304915" y="18132520"/>
          <a:ext cx="1646766" cy="402033"/>
        </a:xfrm>
        <a:prstGeom prst="rect">
          <a:avLst/>
        </a:prstGeom>
        <a:solidFill>
          <a:schemeClr val="bg1"/>
        </a:solid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88E57C6A-423E-4BAF-B8DD-F68FA013B083}" type="TxLink">
            <a:rPr lang="en-US" sz="1050" b="1" i="0" u="none" strike="noStrike">
              <a:solidFill>
                <a:srgbClr val="AB4A99"/>
              </a:solidFill>
              <a:effectLst/>
              <a:latin typeface="Arial" panose="020B0604020202020204" pitchFamily="34" charset="0"/>
              <a:ea typeface="Times New Roman" panose="02020603050405020304" pitchFamily="18" charset="0"/>
              <a:cs typeface="Arial" panose="020B0604020202020204" pitchFamily="34" charset="0"/>
            </a:rPr>
            <a:pPr algn="ctr"/>
            <a:t>Equivalent to £707 per adult in the population</a:t>
          </a:fld>
          <a:endParaRPr lang="en-GB" sz="500" b="1">
            <a:solidFill>
              <a:srgbClr val="AB4A99"/>
            </a:solidFill>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7</xdr:col>
      <xdr:colOff>66675</xdr:colOff>
      <xdr:row>100</xdr:row>
      <xdr:rowOff>101023</xdr:rowOff>
    </xdr:from>
    <xdr:to>
      <xdr:col>9</xdr:col>
      <xdr:colOff>349250</xdr:colOff>
      <xdr:row>103</xdr:row>
      <xdr:rowOff>34060</xdr:rowOff>
    </xdr:to>
    <xdr:sp macro="" textlink="">
      <xdr:nvSpPr>
        <xdr:cNvPr id="63" name="Rectangle: Rounded Corners 62">
          <a:extLst>
            <a:ext uri="{FF2B5EF4-FFF2-40B4-BE49-F238E27FC236}">
              <a16:creationId xmlns:a16="http://schemas.microsoft.com/office/drawing/2014/main" id="{47F88D96-B4E4-4FED-BBF4-CBE1D5A00A71}"/>
            </a:ext>
          </a:extLst>
        </xdr:cNvPr>
        <xdr:cNvSpPr/>
      </xdr:nvSpPr>
      <xdr:spPr>
        <a:xfrm>
          <a:off x="4309630" y="18862387"/>
          <a:ext cx="1494847" cy="495878"/>
        </a:xfrm>
        <a:prstGeom prst="roundRect">
          <a:avLst/>
        </a:prstGeom>
        <a:noFill/>
        <a:ln w="19050">
          <a:solidFill>
            <a:srgbClr val="6E003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5</xdr:col>
      <xdr:colOff>361950</xdr:colOff>
      <xdr:row>100</xdr:row>
      <xdr:rowOff>158750</xdr:rowOff>
    </xdr:from>
    <xdr:to>
      <xdr:col>6</xdr:col>
      <xdr:colOff>533213</xdr:colOff>
      <xdr:row>103</xdr:row>
      <xdr:rowOff>103601</xdr:rowOff>
    </xdr:to>
    <xdr:sp macro="" textlink="">
      <xdr:nvSpPr>
        <xdr:cNvPr id="449" name="Arrow: Right 448">
          <a:extLst>
            <a:ext uri="{FF2B5EF4-FFF2-40B4-BE49-F238E27FC236}">
              <a16:creationId xmlns:a16="http://schemas.microsoft.com/office/drawing/2014/main" id="{D988EB79-95F5-4F33-AA40-741352B3585A}"/>
            </a:ext>
          </a:extLst>
        </xdr:cNvPr>
        <xdr:cNvSpPr/>
      </xdr:nvSpPr>
      <xdr:spPr>
        <a:xfrm>
          <a:off x="3392632" y="18920114"/>
          <a:ext cx="777399" cy="507692"/>
        </a:xfrm>
        <a:prstGeom prst="rightArrow">
          <a:avLst/>
        </a:prstGeom>
        <a:solidFill>
          <a:srgbClr val="941C82"/>
        </a:solidFill>
        <a:ln w="28575">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5</xdr:col>
      <xdr:colOff>339437</xdr:colOff>
      <xdr:row>104</xdr:row>
      <xdr:rowOff>80819</xdr:rowOff>
    </xdr:from>
    <xdr:to>
      <xdr:col>6</xdr:col>
      <xdr:colOff>517050</xdr:colOff>
      <xdr:row>107</xdr:row>
      <xdr:rowOff>64058</xdr:rowOff>
    </xdr:to>
    <xdr:sp macro="" textlink="">
      <xdr:nvSpPr>
        <xdr:cNvPr id="450" name="Arrow: Right 449">
          <a:extLst>
            <a:ext uri="{FF2B5EF4-FFF2-40B4-BE49-F238E27FC236}">
              <a16:creationId xmlns:a16="http://schemas.microsoft.com/office/drawing/2014/main" id="{44C31F92-05F4-4320-AC3F-6428C0FE9B57}"/>
            </a:ext>
          </a:extLst>
        </xdr:cNvPr>
        <xdr:cNvSpPr/>
      </xdr:nvSpPr>
      <xdr:spPr>
        <a:xfrm>
          <a:off x="3370119" y="19592637"/>
          <a:ext cx="783749" cy="546080"/>
        </a:xfrm>
        <a:prstGeom prst="rightArrow">
          <a:avLst/>
        </a:prstGeom>
        <a:solidFill>
          <a:srgbClr val="941C82"/>
        </a:solidFill>
        <a:ln w="28575">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7</xdr:col>
      <xdr:colOff>57150</xdr:colOff>
      <xdr:row>103</xdr:row>
      <xdr:rowOff>101022</xdr:rowOff>
    </xdr:from>
    <xdr:to>
      <xdr:col>9</xdr:col>
      <xdr:colOff>339725</xdr:colOff>
      <xdr:row>107</xdr:row>
      <xdr:rowOff>95250</xdr:rowOff>
    </xdr:to>
    <xdr:sp macro="" textlink="">
      <xdr:nvSpPr>
        <xdr:cNvPr id="451" name="Rectangle: Rounded Corners 450">
          <a:extLst>
            <a:ext uri="{FF2B5EF4-FFF2-40B4-BE49-F238E27FC236}">
              <a16:creationId xmlns:a16="http://schemas.microsoft.com/office/drawing/2014/main" id="{A5F61C86-DC33-45C2-991F-B8A94C37B3C7}"/>
            </a:ext>
          </a:extLst>
        </xdr:cNvPr>
        <xdr:cNvSpPr/>
      </xdr:nvSpPr>
      <xdr:spPr>
        <a:xfrm>
          <a:off x="4300105" y="19425227"/>
          <a:ext cx="1494847" cy="744682"/>
        </a:xfrm>
        <a:prstGeom prst="roundRect">
          <a:avLst/>
        </a:prstGeom>
        <a:noFill/>
        <a:ln w="19050">
          <a:solidFill>
            <a:srgbClr val="6E003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7</xdr:col>
      <xdr:colOff>171739</xdr:colOff>
      <xdr:row>103</xdr:row>
      <xdr:rowOff>126135</xdr:rowOff>
    </xdr:from>
    <xdr:to>
      <xdr:col>9</xdr:col>
      <xdr:colOff>295564</xdr:colOff>
      <xdr:row>107</xdr:row>
      <xdr:rowOff>91209</xdr:rowOff>
    </xdr:to>
    <xdr:sp macro="" textlink="Finance!B8">
      <xdr:nvSpPr>
        <xdr:cNvPr id="453" name="TextBox 66">
          <a:extLst>
            <a:ext uri="{FF2B5EF4-FFF2-40B4-BE49-F238E27FC236}">
              <a16:creationId xmlns:a16="http://schemas.microsoft.com/office/drawing/2014/main" id="{C24080C1-7C17-45F1-A8B6-522AC1557107}"/>
            </a:ext>
          </a:extLst>
        </xdr:cNvPr>
        <xdr:cNvSpPr txBox="1"/>
      </xdr:nvSpPr>
      <xdr:spPr>
        <a:xfrm>
          <a:off x="4414694" y="19450340"/>
          <a:ext cx="1336097" cy="715528"/>
        </a:xfrm>
        <a:prstGeom prst="rect">
          <a:avLst/>
        </a:prstGeom>
        <a:solidFill>
          <a:schemeClr val="bg1"/>
        </a:solid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5A615566-9951-4E11-AB0D-2CC4CAD2F813}" type="TxLink">
            <a:rPr lang="en-US" sz="1050" b="1" i="0" u="none" strike="noStrike">
              <a:solidFill>
                <a:srgbClr val="AB4A99"/>
              </a:solidFill>
              <a:effectLst/>
              <a:latin typeface="Arial" panose="020B0604020202020204" pitchFamily="34" charset="0"/>
              <a:ea typeface="Times New Roman" panose="02020603050405020304" pitchFamily="18" charset="0"/>
              <a:cs typeface="Arial" panose="020B0604020202020204" pitchFamily="34" charset="0"/>
            </a:rPr>
            <a:pPr algn="ctr"/>
            <a:t>62% of overall Local Authority net revenue expenditure)</a:t>
          </a:fld>
          <a:endParaRPr lang="en-GB" sz="300" b="1">
            <a:solidFill>
              <a:srgbClr val="AB4A99"/>
            </a:solidFill>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twoCellAnchor>
    <xdr:from>
      <xdr:col>0</xdr:col>
      <xdr:colOff>95250</xdr:colOff>
      <xdr:row>107</xdr:row>
      <xdr:rowOff>171451</xdr:rowOff>
    </xdr:from>
    <xdr:to>
      <xdr:col>9</xdr:col>
      <xdr:colOff>342900</xdr:colOff>
      <xdr:row>110</xdr:row>
      <xdr:rowOff>44451</xdr:rowOff>
    </xdr:to>
    <xdr:sp macro="" textlink="">
      <xdr:nvSpPr>
        <xdr:cNvPr id="454" name="Rectangle: Rounded Corners 54">
          <a:extLst>
            <a:ext uri="{FF2B5EF4-FFF2-40B4-BE49-F238E27FC236}">
              <a16:creationId xmlns:a16="http://schemas.microsoft.com/office/drawing/2014/main" id="{E2DBFDEA-B501-4D46-870A-279DE5A71786}"/>
            </a:ext>
          </a:extLst>
        </xdr:cNvPr>
        <xdr:cNvSpPr/>
      </xdr:nvSpPr>
      <xdr:spPr>
        <a:xfrm>
          <a:off x="6156614" y="2047587"/>
          <a:ext cx="5702877" cy="540039"/>
        </a:xfrm>
        <a:prstGeom prst="roundRect">
          <a:avLst/>
        </a:prstGeom>
        <a:solidFill>
          <a:srgbClr val="6E003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ctr"/>
          <a:r>
            <a:rPr lang="en-US" sz="2400" b="0" i="0" u="none" strike="noStrike">
              <a:solidFill>
                <a:schemeClr val="bg1"/>
              </a:solidFill>
              <a:latin typeface="Arial" panose="020B0604020202020204" pitchFamily="34" charset="0"/>
              <a:cs typeface="Arial" panose="020B0604020202020204" pitchFamily="34" charset="0"/>
            </a:rPr>
            <a:t>Long</a:t>
          </a:r>
          <a:r>
            <a:rPr lang="en-US" sz="2400" b="0" i="0" u="none" strike="noStrike" baseline="0">
              <a:solidFill>
                <a:schemeClr val="bg1"/>
              </a:solidFill>
              <a:latin typeface="Arial" panose="020B0604020202020204" pitchFamily="34" charset="0"/>
              <a:cs typeface="Arial" panose="020B0604020202020204" pitchFamily="34" charset="0"/>
            </a:rPr>
            <a:t> and short term care costs</a:t>
          </a:r>
          <a:endParaRPr lang="en-US" sz="2400" b="0" i="0" u="none" strike="noStrike">
            <a:solidFill>
              <a:schemeClr val="bg1"/>
            </a:solidFill>
            <a:latin typeface="Arial" panose="020B0604020202020204" pitchFamily="34" charset="0"/>
            <a:cs typeface="Arial" panose="020B0604020202020204" pitchFamily="34" charset="0"/>
          </a:endParaRPr>
        </a:p>
      </xdr:txBody>
    </xdr:sp>
    <xdr:clientData/>
  </xdr:twoCellAnchor>
  <xdr:twoCellAnchor>
    <xdr:from>
      <xdr:col>1</xdr:col>
      <xdr:colOff>158750</xdr:colOff>
      <xdr:row>115</xdr:row>
      <xdr:rowOff>139700</xdr:rowOff>
    </xdr:from>
    <xdr:to>
      <xdr:col>4</xdr:col>
      <xdr:colOff>73165</xdr:colOff>
      <xdr:row>121</xdr:row>
      <xdr:rowOff>138686</xdr:rowOff>
    </xdr:to>
    <xdr:sp macro="" textlink="">
      <xdr:nvSpPr>
        <xdr:cNvPr id="455" name="TextBox 94">
          <a:extLst>
            <a:ext uri="{FF2B5EF4-FFF2-40B4-BE49-F238E27FC236}">
              <a16:creationId xmlns:a16="http://schemas.microsoft.com/office/drawing/2014/main" id="{B75F8663-D2F2-4C00-9D66-E21185BAD592}"/>
            </a:ext>
          </a:extLst>
        </xdr:cNvPr>
        <xdr:cNvSpPr txBox="1"/>
      </xdr:nvSpPr>
      <xdr:spPr>
        <a:xfrm>
          <a:off x="764886" y="22162655"/>
          <a:ext cx="1732824" cy="1124667"/>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1000">
              <a:solidFill>
                <a:srgbClr val="6E0036"/>
              </a:solidFill>
              <a:latin typeface="Arial" panose="020B0604020202020204" pitchFamily="34" charset="0"/>
              <a:cs typeface="Arial" panose="020B0604020202020204" pitchFamily="34" charset="0"/>
            </a:rPr>
            <a:t>spent on younger adults (age 18-64) was for people with a learning disability</a:t>
          </a:r>
        </a:p>
        <a:p>
          <a:endParaRPr lang="en-GB" sz="1000">
            <a:solidFill>
              <a:srgbClr val="6E0036"/>
            </a:solidFill>
            <a:highlight>
              <a:srgbClr val="FFFF00"/>
            </a:highlight>
            <a:latin typeface="Arial" panose="020B0604020202020204" pitchFamily="34" charset="0"/>
            <a:cs typeface="Arial" panose="020B0604020202020204" pitchFamily="34" charset="0"/>
          </a:endParaRPr>
        </a:p>
        <a:p>
          <a:r>
            <a:rPr lang="en-GB" sz="1000">
              <a:solidFill>
                <a:srgbClr val="6E0036"/>
              </a:solidFill>
              <a:latin typeface="Arial" panose="020B0604020202020204" pitchFamily="34" charset="0"/>
              <a:cs typeface="Arial" panose="020B0604020202020204" pitchFamily="34" charset="0"/>
            </a:rPr>
            <a:t>spent on older adults (age 65+) was for people with physical support needs</a:t>
          </a:r>
        </a:p>
      </xdr:txBody>
    </xdr:sp>
    <xdr:clientData/>
  </xdr:twoCellAnchor>
  <xdr:twoCellAnchor>
    <xdr:from>
      <xdr:col>0</xdr:col>
      <xdr:colOff>104775</xdr:colOff>
      <xdr:row>110</xdr:row>
      <xdr:rowOff>59390</xdr:rowOff>
    </xdr:from>
    <xdr:to>
      <xdr:col>1</xdr:col>
      <xdr:colOff>136071</xdr:colOff>
      <xdr:row>115</xdr:row>
      <xdr:rowOff>76306</xdr:rowOff>
    </xdr:to>
    <xdr:grpSp>
      <xdr:nvGrpSpPr>
        <xdr:cNvPr id="456" name="Group 5">
          <a:extLst>
            <a:ext uri="{FF2B5EF4-FFF2-40B4-BE49-F238E27FC236}">
              <a16:creationId xmlns:a16="http://schemas.microsoft.com/office/drawing/2014/main" id="{07BF2F8A-3CAA-41DF-8F88-D1171DA4425A}"/>
            </a:ext>
          </a:extLst>
        </xdr:cNvPr>
        <xdr:cNvGrpSpPr/>
      </xdr:nvGrpSpPr>
      <xdr:grpSpPr>
        <a:xfrm>
          <a:off x="101600" y="19850223"/>
          <a:ext cx="648304" cy="916500"/>
          <a:chOff x="492074" y="4636213"/>
          <a:chExt cx="617108" cy="718818"/>
        </a:xfrm>
      </xdr:grpSpPr>
      <xdr:sp macro="" textlink="">
        <xdr:nvSpPr>
          <xdr:cNvPr id="457" name="Arrow: Up 7">
            <a:extLst>
              <a:ext uri="{FF2B5EF4-FFF2-40B4-BE49-F238E27FC236}">
                <a16:creationId xmlns:a16="http://schemas.microsoft.com/office/drawing/2014/main" id="{35A35B13-F367-C4E4-3FCD-10733675BE49}"/>
              </a:ext>
            </a:extLst>
          </xdr:cNvPr>
          <xdr:cNvSpPr/>
        </xdr:nvSpPr>
        <xdr:spPr>
          <a:xfrm>
            <a:off x="492074" y="4636213"/>
            <a:ext cx="617108" cy="718818"/>
          </a:xfrm>
          <a:prstGeom prst="upArrow">
            <a:avLst/>
          </a:prstGeom>
          <a:noFill/>
          <a:ln w="38100">
            <a:solidFill>
              <a:srgbClr val="70146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sp macro="" textlink="Finance!C9">
        <xdr:nvSpPr>
          <xdr:cNvPr id="458" name="TextBox 6">
            <a:extLst>
              <a:ext uri="{FF2B5EF4-FFF2-40B4-BE49-F238E27FC236}">
                <a16:creationId xmlns:a16="http://schemas.microsoft.com/office/drawing/2014/main" id="{0676CD51-3607-BA1B-35BB-10707EF972AC}"/>
              </a:ext>
            </a:extLst>
          </xdr:cNvPr>
          <xdr:cNvSpPr txBox="1"/>
        </xdr:nvSpPr>
        <xdr:spPr>
          <a:xfrm rot="16200000">
            <a:off x="525147" y="4867079"/>
            <a:ext cx="577402" cy="257669"/>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4A9FFF05-EBC7-4ACE-BBD3-DA765140B4F2}" type="TxLink">
              <a:rPr lang="en-US" sz="1200" b="0" i="0" u="none" strike="noStrike">
                <a:solidFill>
                  <a:srgbClr val="6E0036"/>
                </a:solidFill>
                <a:latin typeface="Arial" panose="020B0604020202020204" pitchFamily="34" charset="0"/>
                <a:cs typeface="Arial" panose="020B0604020202020204" pitchFamily="34" charset="0"/>
              </a:rPr>
              <a:pPr algn="ctr"/>
              <a:t>6.9%</a:t>
            </a:fld>
            <a:endParaRPr lang="en-GB" sz="1400">
              <a:solidFill>
                <a:srgbClr val="6E0036"/>
              </a:solidFill>
              <a:latin typeface="Arial" panose="020B0604020202020204" pitchFamily="34" charset="0"/>
              <a:cs typeface="Arial" panose="020B0604020202020204" pitchFamily="34" charset="0"/>
            </a:endParaRPr>
          </a:p>
        </xdr:txBody>
      </xdr:sp>
    </xdr:grpSp>
    <xdr:clientData/>
  </xdr:twoCellAnchor>
  <xdr:twoCellAnchor>
    <xdr:from>
      <xdr:col>0</xdr:col>
      <xdr:colOff>64076</xdr:colOff>
      <xdr:row>115</xdr:row>
      <xdr:rowOff>182706</xdr:rowOff>
    </xdr:from>
    <xdr:to>
      <xdr:col>1</xdr:col>
      <xdr:colOff>293371</xdr:colOff>
      <xdr:row>118</xdr:row>
      <xdr:rowOff>14431</xdr:rowOff>
    </xdr:to>
    <xdr:sp macro="" textlink="Finance!B10">
      <xdr:nvSpPr>
        <xdr:cNvPr id="459" name="TextBox 78">
          <a:extLst>
            <a:ext uri="{FF2B5EF4-FFF2-40B4-BE49-F238E27FC236}">
              <a16:creationId xmlns:a16="http://schemas.microsoft.com/office/drawing/2014/main" id="{48C008C3-9B81-4452-9955-A77D1DDC26D6}"/>
            </a:ext>
          </a:extLst>
        </xdr:cNvPr>
        <xdr:cNvSpPr txBox="1"/>
      </xdr:nvSpPr>
      <xdr:spPr>
        <a:xfrm>
          <a:off x="6128615" y="3657599"/>
          <a:ext cx="835431" cy="394566"/>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76F5C0A3-E952-4276-965A-AE884A62F773}" type="TxLink">
            <a:rPr lang="en-US" sz="2400" b="0" i="0" u="none" strike="noStrike">
              <a:solidFill>
                <a:srgbClr val="6E0036"/>
              </a:solidFill>
              <a:latin typeface="Arial" panose="020B0604020202020204" pitchFamily="34" charset="0"/>
              <a:cs typeface="Arial" panose="020B0604020202020204" pitchFamily="34" charset="0"/>
            </a:rPr>
            <a:pPr algn="ctr"/>
            <a:t>62%</a:t>
          </a:fld>
          <a:endParaRPr lang="en-GB" sz="2400">
            <a:solidFill>
              <a:srgbClr val="6E0036"/>
            </a:solidFill>
            <a:latin typeface="Arial" panose="020B0604020202020204" pitchFamily="34" charset="0"/>
            <a:cs typeface="Arial" panose="020B0604020202020204" pitchFamily="34" charset="0"/>
          </a:endParaRPr>
        </a:p>
      </xdr:txBody>
    </xdr:sp>
    <xdr:clientData/>
  </xdr:twoCellAnchor>
  <xdr:twoCellAnchor>
    <xdr:from>
      <xdr:col>0</xdr:col>
      <xdr:colOff>3174</xdr:colOff>
      <xdr:row>118</xdr:row>
      <xdr:rowOff>152400</xdr:rowOff>
    </xdr:from>
    <xdr:to>
      <xdr:col>1</xdr:col>
      <xdr:colOff>363970</xdr:colOff>
      <xdr:row>121</xdr:row>
      <xdr:rowOff>57728</xdr:rowOff>
    </xdr:to>
    <xdr:sp macro="" textlink="Finance!B11">
      <xdr:nvSpPr>
        <xdr:cNvPr id="460" name="TextBox 79">
          <a:extLst>
            <a:ext uri="{FF2B5EF4-FFF2-40B4-BE49-F238E27FC236}">
              <a16:creationId xmlns:a16="http://schemas.microsoft.com/office/drawing/2014/main" id="{B8CC6430-0FBA-4141-85C4-439981257F2F}"/>
            </a:ext>
          </a:extLst>
        </xdr:cNvPr>
        <xdr:cNvSpPr txBox="1"/>
      </xdr:nvSpPr>
      <xdr:spPr>
        <a:xfrm>
          <a:off x="6064538" y="4193309"/>
          <a:ext cx="966932" cy="468169"/>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46145CA6-D110-46AD-AC27-5814E683E18C}" type="TxLink">
            <a:rPr lang="en-US" sz="2400" b="0" i="0" u="none" strike="noStrike">
              <a:solidFill>
                <a:srgbClr val="6E0036"/>
              </a:solidFill>
              <a:latin typeface="Arial" panose="020B0604020202020204" pitchFamily="34" charset="0"/>
              <a:cs typeface="Arial" panose="020B0604020202020204" pitchFamily="34" charset="0"/>
            </a:rPr>
            <a:pPr algn="ctr"/>
            <a:t>60%</a:t>
          </a:fld>
          <a:endParaRPr lang="en-GB" sz="2400">
            <a:solidFill>
              <a:srgbClr val="6E0036"/>
            </a:solidFill>
            <a:latin typeface="Arial" panose="020B0604020202020204" pitchFamily="34" charset="0"/>
            <a:cs typeface="Arial" panose="020B0604020202020204" pitchFamily="34" charset="0"/>
          </a:endParaRPr>
        </a:p>
      </xdr:txBody>
    </xdr:sp>
    <xdr:clientData/>
  </xdr:twoCellAnchor>
  <xdr:twoCellAnchor>
    <xdr:from>
      <xdr:col>1</xdr:col>
      <xdr:colOff>180974</xdr:colOff>
      <xdr:row>110</xdr:row>
      <xdr:rowOff>74611</xdr:rowOff>
    </xdr:from>
    <xdr:to>
      <xdr:col>3</xdr:col>
      <xdr:colOff>504825</xdr:colOff>
      <xdr:row>115</xdr:row>
      <xdr:rowOff>152400</xdr:rowOff>
    </xdr:to>
    <xdr:sp macro="" textlink="Finance!A9">
      <xdr:nvSpPr>
        <xdr:cNvPr id="461" name="TextBox 460">
          <a:extLst>
            <a:ext uri="{FF2B5EF4-FFF2-40B4-BE49-F238E27FC236}">
              <a16:creationId xmlns:a16="http://schemas.microsoft.com/office/drawing/2014/main" id="{A57B0C5D-C9CA-49E8-8288-1EBFDF813BD2}"/>
            </a:ext>
          </a:extLst>
        </xdr:cNvPr>
        <xdr:cNvSpPr txBox="1"/>
      </xdr:nvSpPr>
      <xdr:spPr>
        <a:xfrm>
          <a:off x="6851649" y="2614611"/>
          <a:ext cx="1529774" cy="10158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49161E37-AAA8-4D10-B57A-E2A597ED5973}" type="TxLink">
            <a:rPr lang="en-US" sz="1000" b="0" i="0" u="none" strike="noStrike">
              <a:solidFill>
                <a:srgbClr val="6E0036"/>
              </a:solidFill>
              <a:latin typeface="Arial" panose="020B0604020202020204" pitchFamily="34" charset="0"/>
              <a:cs typeface="Arial" panose="020B0604020202020204" pitchFamily="34" charset="0"/>
            </a:rPr>
            <a:pPr/>
            <a:t>£394.6 million was spent on long and short-term care, (6.9% increase on 2023/24), of which 64% was spent on older adults</a:t>
          </a:fld>
          <a:endParaRPr lang="en-GB" sz="1000">
            <a:solidFill>
              <a:srgbClr val="6E0036"/>
            </a:solidFill>
            <a:latin typeface="Arial" panose="020B0604020202020204" pitchFamily="34" charset="0"/>
            <a:cs typeface="Arial" panose="020B0604020202020204" pitchFamily="34" charset="0"/>
          </a:endParaRPr>
        </a:p>
      </xdr:txBody>
    </xdr:sp>
    <xdr:clientData/>
  </xdr:twoCellAnchor>
  <xdr:twoCellAnchor>
    <xdr:from>
      <xdr:col>4</xdr:col>
      <xdr:colOff>314324</xdr:colOff>
      <xdr:row>110</xdr:row>
      <xdr:rowOff>177800</xdr:rowOff>
    </xdr:from>
    <xdr:to>
      <xdr:col>6</xdr:col>
      <xdr:colOff>393699</xdr:colOff>
      <xdr:row>114</xdr:row>
      <xdr:rowOff>165100</xdr:rowOff>
    </xdr:to>
    <xdr:sp macro="" textlink="Finance!B13">
      <xdr:nvSpPr>
        <xdr:cNvPr id="462" name="TextBox 461">
          <a:extLst>
            <a:ext uri="{FF2B5EF4-FFF2-40B4-BE49-F238E27FC236}">
              <a16:creationId xmlns:a16="http://schemas.microsoft.com/office/drawing/2014/main" id="{D9A8D3F2-6D23-40AB-9484-CB1B26BF8CDA}"/>
            </a:ext>
          </a:extLst>
        </xdr:cNvPr>
        <xdr:cNvSpPr txBox="1"/>
      </xdr:nvSpPr>
      <xdr:spPr>
        <a:xfrm>
          <a:off x="8803408" y="2720975"/>
          <a:ext cx="1285298" cy="731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CFC8C3FC-C770-4426-B64A-17EFCFB80ECE}" type="TxLink">
            <a:rPr lang="en-US" sz="1050" b="0" i="0" u="none" strike="noStrike">
              <a:solidFill>
                <a:srgbClr val="6E0036"/>
              </a:solidFill>
              <a:latin typeface="Arial" panose="020B0604020202020204" pitchFamily="34" charset="0"/>
              <a:cs typeface="Arial" panose="020B0604020202020204" pitchFamily="34" charset="0"/>
            </a:rPr>
            <a:pPr/>
            <a:t>£379.7 million was spent on long-term care (96% of care costs)</a:t>
          </a:fld>
          <a:endParaRPr lang="en-GB" sz="400">
            <a:latin typeface="Arial" panose="020B0604020202020204" pitchFamily="34" charset="0"/>
            <a:cs typeface="Arial" panose="020B0604020202020204" pitchFamily="34" charset="0"/>
          </a:endParaRPr>
        </a:p>
      </xdr:txBody>
    </xdr:sp>
    <xdr:clientData/>
  </xdr:twoCellAnchor>
  <xdr:twoCellAnchor>
    <xdr:from>
      <xdr:col>4</xdr:col>
      <xdr:colOff>330201</xdr:colOff>
      <xdr:row>110</xdr:row>
      <xdr:rowOff>146050</xdr:rowOff>
    </xdr:from>
    <xdr:to>
      <xdr:col>6</xdr:col>
      <xdr:colOff>393701</xdr:colOff>
      <xdr:row>115</xdr:row>
      <xdr:rowOff>6350</xdr:rowOff>
    </xdr:to>
    <xdr:sp macro="" textlink="">
      <xdr:nvSpPr>
        <xdr:cNvPr id="463" name="Rectangle: Diagonal Corners Rounded 462">
          <a:extLst>
            <a:ext uri="{FF2B5EF4-FFF2-40B4-BE49-F238E27FC236}">
              <a16:creationId xmlns:a16="http://schemas.microsoft.com/office/drawing/2014/main" id="{C8810F86-1CD6-4AC3-A311-5D1645ED37EF}"/>
            </a:ext>
          </a:extLst>
        </xdr:cNvPr>
        <xdr:cNvSpPr/>
      </xdr:nvSpPr>
      <xdr:spPr>
        <a:xfrm>
          <a:off x="8819285" y="2682875"/>
          <a:ext cx="1269423" cy="804718"/>
        </a:xfrm>
        <a:prstGeom prst="round2DiagRect">
          <a:avLst/>
        </a:prstGeom>
        <a:noFill/>
        <a:ln w="38100">
          <a:solidFill>
            <a:srgbClr val="6E003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7</xdr:col>
      <xdr:colOff>203200</xdr:colOff>
      <xdr:row>111</xdr:row>
      <xdr:rowOff>0</xdr:rowOff>
    </xdr:from>
    <xdr:to>
      <xdr:col>9</xdr:col>
      <xdr:colOff>282575</xdr:colOff>
      <xdr:row>114</xdr:row>
      <xdr:rowOff>171450</xdr:rowOff>
    </xdr:to>
    <xdr:sp macro="" textlink="Finance!B14">
      <xdr:nvSpPr>
        <xdr:cNvPr id="464" name="TextBox 463">
          <a:extLst>
            <a:ext uri="{FF2B5EF4-FFF2-40B4-BE49-F238E27FC236}">
              <a16:creationId xmlns:a16="http://schemas.microsoft.com/office/drawing/2014/main" id="{0B622660-24CA-4AFB-8E99-DF1953079D52}"/>
            </a:ext>
          </a:extLst>
        </xdr:cNvPr>
        <xdr:cNvSpPr txBox="1"/>
      </xdr:nvSpPr>
      <xdr:spPr>
        <a:xfrm>
          <a:off x="10504343" y="2727614"/>
          <a:ext cx="1294823" cy="7342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47AAE05E-650C-4DD9-924C-8510686829CC}" type="TxLink">
            <a:rPr lang="en-US" sz="1050" b="0" i="0" u="none" strike="noStrike">
              <a:solidFill>
                <a:srgbClr val="6E0036"/>
              </a:solidFill>
              <a:latin typeface="Arial" panose="020B0604020202020204" pitchFamily="34" charset="0"/>
              <a:cs typeface="Arial" panose="020B0604020202020204" pitchFamily="34" charset="0"/>
            </a:rPr>
            <a:pPr/>
            <a:t>£14.9 million was spent on long-term care (4% of care costs)</a:t>
          </a:fld>
          <a:endParaRPr lang="en-GB" sz="100">
            <a:latin typeface="Arial" panose="020B0604020202020204" pitchFamily="34" charset="0"/>
            <a:cs typeface="Arial" panose="020B0604020202020204" pitchFamily="34" charset="0"/>
          </a:endParaRPr>
        </a:p>
      </xdr:txBody>
    </xdr:sp>
    <xdr:clientData/>
  </xdr:twoCellAnchor>
  <xdr:twoCellAnchor>
    <xdr:from>
      <xdr:col>7</xdr:col>
      <xdr:colOff>215897</xdr:colOff>
      <xdr:row>110</xdr:row>
      <xdr:rowOff>158752</xdr:rowOff>
    </xdr:from>
    <xdr:to>
      <xdr:col>9</xdr:col>
      <xdr:colOff>273048</xdr:colOff>
      <xdr:row>115</xdr:row>
      <xdr:rowOff>38100</xdr:rowOff>
    </xdr:to>
    <xdr:sp macro="" textlink="">
      <xdr:nvSpPr>
        <xdr:cNvPr id="465" name="Rectangle: Diagonal Corners Rounded 464">
          <a:extLst>
            <a:ext uri="{FF2B5EF4-FFF2-40B4-BE49-F238E27FC236}">
              <a16:creationId xmlns:a16="http://schemas.microsoft.com/office/drawing/2014/main" id="{5E03D063-B91F-4A38-A965-56BCA1F7B528}"/>
            </a:ext>
          </a:extLst>
        </xdr:cNvPr>
        <xdr:cNvSpPr/>
      </xdr:nvSpPr>
      <xdr:spPr>
        <a:xfrm rot="5400000">
          <a:off x="10750981" y="2474336"/>
          <a:ext cx="814241" cy="1269424"/>
        </a:xfrm>
        <a:prstGeom prst="round2DiagRect">
          <a:avLst/>
        </a:prstGeom>
        <a:noFill/>
        <a:ln w="38100">
          <a:solidFill>
            <a:srgbClr val="6E003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4</xdr:col>
      <xdr:colOff>342900</xdr:colOff>
      <xdr:row>117</xdr:row>
      <xdr:rowOff>6350</xdr:rowOff>
    </xdr:from>
    <xdr:to>
      <xdr:col>6</xdr:col>
      <xdr:colOff>422275</xdr:colOff>
      <xdr:row>121</xdr:row>
      <xdr:rowOff>0</xdr:rowOff>
    </xdr:to>
    <xdr:sp macro="" textlink="Finance!B15">
      <xdr:nvSpPr>
        <xdr:cNvPr id="466" name="TextBox 465">
          <a:extLst>
            <a:ext uri="{FF2B5EF4-FFF2-40B4-BE49-F238E27FC236}">
              <a16:creationId xmlns:a16="http://schemas.microsoft.com/office/drawing/2014/main" id="{C3BDCA1A-E683-42A5-A024-C34BA02C7348}"/>
            </a:ext>
          </a:extLst>
        </xdr:cNvPr>
        <xdr:cNvSpPr txBox="1"/>
      </xdr:nvSpPr>
      <xdr:spPr>
        <a:xfrm>
          <a:off x="8828809" y="3862820"/>
          <a:ext cx="1294823" cy="7409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fld id="{CEFFE98C-2D8F-46E3-94D2-0FBB6640E719}" type="TxLink">
            <a:rPr lang="en-US" sz="1100" b="0" i="0" u="none" strike="noStrike">
              <a:solidFill>
                <a:srgbClr val="FF7A26"/>
              </a:solidFill>
              <a:latin typeface="Arial" panose="020B0604020202020204" pitchFamily="34" charset="0"/>
              <a:cs typeface="Arial" panose="020B0604020202020204" pitchFamily="34" charset="0"/>
            </a:rPr>
            <a:pPr algn="l"/>
            <a:t>£185.7 million was spent on people aged 18-64</a:t>
          </a:fld>
          <a:endParaRPr lang="en-GB" sz="200">
            <a:latin typeface="Arial" panose="020B0604020202020204" pitchFamily="34" charset="0"/>
            <a:cs typeface="Arial" panose="020B0604020202020204" pitchFamily="34" charset="0"/>
          </a:endParaRPr>
        </a:p>
      </xdr:txBody>
    </xdr:sp>
    <xdr:clientData/>
  </xdr:twoCellAnchor>
  <xdr:twoCellAnchor>
    <xdr:from>
      <xdr:col>7</xdr:col>
      <xdr:colOff>247650</xdr:colOff>
      <xdr:row>117</xdr:row>
      <xdr:rowOff>12700</xdr:rowOff>
    </xdr:from>
    <xdr:to>
      <xdr:col>9</xdr:col>
      <xdr:colOff>327025</xdr:colOff>
      <xdr:row>121</xdr:row>
      <xdr:rowOff>6350</xdr:rowOff>
    </xdr:to>
    <xdr:sp macro="" textlink="Finance!B16">
      <xdr:nvSpPr>
        <xdr:cNvPr id="467" name="TextBox 466">
          <a:extLst>
            <a:ext uri="{FF2B5EF4-FFF2-40B4-BE49-F238E27FC236}">
              <a16:creationId xmlns:a16="http://schemas.microsoft.com/office/drawing/2014/main" id="{45739437-14BB-499F-A0AC-A8F0342386A9}"/>
            </a:ext>
          </a:extLst>
        </xdr:cNvPr>
        <xdr:cNvSpPr txBox="1"/>
      </xdr:nvSpPr>
      <xdr:spPr>
        <a:xfrm>
          <a:off x="10551968" y="3862820"/>
          <a:ext cx="1294823" cy="750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DAEFFC9C-AAAC-4D5A-914B-6EC8120FFBF3}" type="TxLink">
            <a:rPr lang="en-US" sz="1100" b="0" i="0" u="none" strike="noStrike">
              <a:solidFill>
                <a:srgbClr val="94C21F"/>
              </a:solidFill>
              <a:latin typeface="Arial" panose="020B0604020202020204" pitchFamily="34" charset="0"/>
              <a:cs typeface="Arial" panose="020B0604020202020204" pitchFamily="34" charset="0"/>
            </a:rPr>
            <a:pPr/>
            <a:t>£252.4 million was spent on people aged 65 and over</a:t>
          </a:fld>
          <a:endParaRPr lang="en-GB" sz="100">
            <a:latin typeface="Arial" panose="020B0604020202020204" pitchFamily="34" charset="0"/>
            <a:cs typeface="Arial" panose="020B0604020202020204" pitchFamily="34" charset="0"/>
          </a:endParaRPr>
        </a:p>
      </xdr:txBody>
    </xdr:sp>
    <xdr:clientData/>
  </xdr:twoCellAnchor>
  <xdr:twoCellAnchor>
    <xdr:from>
      <xdr:col>4</xdr:col>
      <xdr:colOff>323850</xdr:colOff>
      <xdr:row>116</xdr:row>
      <xdr:rowOff>139700</xdr:rowOff>
    </xdr:from>
    <xdr:to>
      <xdr:col>6</xdr:col>
      <xdr:colOff>387350</xdr:colOff>
      <xdr:row>121</xdr:row>
      <xdr:rowOff>6350</xdr:rowOff>
    </xdr:to>
    <xdr:sp macro="" textlink="">
      <xdr:nvSpPr>
        <xdr:cNvPr id="468" name="Rectangle: Diagonal Corners Rounded 467">
          <a:extLst>
            <a:ext uri="{FF2B5EF4-FFF2-40B4-BE49-F238E27FC236}">
              <a16:creationId xmlns:a16="http://schemas.microsoft.com/office/drawing/2014/main" id="{13927436-28CA-485D-A08B-66FFE5E49FB1}"/>
            </a:ext>
          </a:extLst>
        </xdr:cNvPr>
        <xdr:cNvSpPr/>
      </xdr:nvSpPr>
      <xdr:spPr>
        <a:xfrm>
          <a:off x="8809759" y="3808557"/>
          <a:ext cx="1278948" cy="804718"/>
        </a:xfrm>
        <a:prstGeom prst="round2DiagRect">
          <a:avLst/>
        </a:prstGeom>
        <a:noFill/>
        <a:ln w="38100">
          <a:solidFill>
            <a:srgbClr val="FF7A2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7</xdr:col>
      <xdr:colOff>215899</xdr:colOff>
      <xdr:row>117</xdr:row>
      <xdr:rowOff>1</xdr:rowOff>
    </xdr:from>
    <xdr:to>
      <xdr:col>9</xdr:col>
      <xdr:colOff>273050</xdr:colOff>
      <xdr:row>121</xdr:row>
      <xdr:rowOff>38101</xdr:rowOff>
    </xdr:to>
    <xdr:sp macro="" textlink="">
      <xdr:nvSpPr>
        <xdr:cNvPr id="469" name="Rectangle: Diagonal Corners Rounded 468">
          <a:extLst>
            <a:ext uri="{FF2B5EF4-FFF2-40B4-BE49-F238E27FC236}">
              <a16:creationId xmlns:a16="http://schemas.microsoft.com/office/drawing/2014/main" id="{E0C6D7C4-A737-4007-BF03-BE33B5982834}"/>
            </a:ext>
          </a:extLst>
        </xdr:cNvPr>
        <xdr:cNvSpPr/>
      </xdr:nvSpPr>
      <xdr:spPr>
        <a:xfrm rot="5400000">
          <a:off x="10763826" y="3612862"/>
          <a:ext cx="788555" cy="1269424"/>
        </a:xfrm>
        <a:prstGeom prst="round2DiagRect">
          <a:avLst/>
        </a:prstGeom>
        <a:noFill/>
        <a:ln w="38100">
          <a:solidFill>
            <a:srgbClr val="94C21F"/>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0</xdr:col>
      <xdr:colOff>65687</xdr:colOff>
      <xdr:row>122</xdr:row>
      <xdr:rowOff>98160</xdr:rowOff>
    </xdr:from>
    <xdr:to>
      <xdr:col>10</xdr:col>
      <xdr:colOff>46637</xdr:colOff>
      <xdr:row>129</xdr:row>
      <xdr:rowOff>30898</xdr:rowOff>
    </xdr:to>
    <xdr:grpSp>
      <xdr:nvGrpSpPr>
        <xdr:cNvPr id="470" name="Group 36">
          <a:extLst>
            <a:ext uri="{FF2B5EF4-FFF2-40B4-BE49-F238E27FC236}">
              <a16:creationId xmlns:a16="http://schemas.microsoft.com/office/drawing/2014/main" id="{FE744E04-ED33-4D4E-8C8B-DFB985331591}"/>
            </a:ext>
          </a:extLst>
        </xdr:cNvPr>
        <xdr:cNvGrpSpPr/>
      </xdr:nvGrpSpPr>
      <xdr:grpSpPr>
        <a:xfrm>
          <a:off x="68862" y="22047993"/>
          <a:ext cx="6119283" cy="1188980"/>
          <a:chOff x="614247" y="7385053"/>
          <a:chExt cx="6238729" cy="1527384"/>
        </a:xfrm>
      </xdr:grpSpPr>
      <xdr:pic>
        <xdr:nvPicPr>
          <xdr:cNvPr id="471" name="Picture 37" descr="A black background with a black square">
            <a:extLst>
              <a:ext uri="{FF2B5EF4-FFF2-40B4-BE49-F238E27FC236}">
                <a16:creationId xmlns:a16="http://schemas.microsoft.com/office/drawing/2014/main" id="{41F53505-8FEA-3673-4320-1516C7D72B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3103" y="7591893"/>
            <a:ext cx="917760" cy="917760"/>
          </a:xfrm>
          <a:prstGeom prst="rect">
            <a:avLst/>
          </a:prstGeom>
        </xdr:spPr>
      </xdr:pic>
      <xdr:pic>
        <xdr:nvPicPr>
          <xdr:cNvPr id="472" name="Picture 38">
            <a:extLst>
              <a:ext uri="{FF2B5EF4-FFF2-40B4-BE49-F238E27FC236}">
                <a16:creationId xmlns:a16="http://schemas.microsoft.com/office/drawing/2014/main" id="{2EC1F416-C637-DC82-D511-24B76561AA64}"/>
              </a:ext>
            </a:extLst>
          </xdr:cNvPr>
          <xdr:cNvPicPr>
            <a:picLocks noChangeAspect="1"/>
          </xdr:cNvPicPr>
        </xdr:nvPicPr>
        <xdr:blipFill>
          <a:blip xmlns:r="http://schemas.openxmlformats.org/officeDocument/2006/relationships" r:embed="rId14" cstate="print">
            <a:biLevel thresh="75000"/>
            <a:extLst>
              <a:ext uri="{28A0092B-C50C-407E-A947-70E740481C1C}">
                <a14:useLocalDpi xmlns:a14="http://schemas.microsoft.com/office/drawing/2010/main" val="0"/>
              </a:ext>
            </a:extLst>
          </a:blip>
          <a:stretch>
            <a:fillRect/>
          </a:stretch>
        </xdr:blipFill>
        <xdr:spPr>
          <a:xfrm>
            <a:off x="5504236" y="7626371"/>
            <a:ext cx="905748" cy="918000"/>
          </a:xfrm>
          <a:prstGeom prst="rect">
            <a:avLst/>
          </a:prstGeom>
        </xdr:spPr>
      </xdr:pic>
      <xdr:sp macro="" textlink="">
        <xdr:nvSpPr>
          <xdr:cNvPr id="473" name="TextBox 2">
            <a:extLst>
              <a:ext uri="{FF2B5EF4-FFF2-40B4-BE49-F238E27FC236}">
                <a16:creationId xmlns:a16="http://schemas.microsoft.com/office/drawing/2014/main" id="{DBF21B5E-52F5-92A8-4BA8-D14947E04CFD}"/>
              </a:ext>
            </a:extLst>
          </xdr:cNvPr>
          <xdr:cNvSpPr txBox="1"/>
        </xdr:nvSpPr>
        <xdr:spPr>
          <a:xfrm>
            <a:off x="614247" y="8431940"/>
            <a:ext cx="1683834" cy="43857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b="1">
                <a:solidFill>
                  <a:srgbClr val="FF7A26"/>
                </a:solidFill>
                <a:latin typeface="Arial" panose="020B0604020202020204" pitchFamily="34" charset="0"/>
                <a:cs typeface="Arial" panose="020B0604020202020204" pitchFamily="34" charset="0"/>
              </a:rPr>
              <a:t>Age 18-64</a:t>
            </a:r>
            <a:endParaRPr lang="en-GB" sz="1100" b="1">
              <a:solidFill>
                <a:srgbClr val="FF7A26"/>
              </a:solidFill>
              <a:latin typeface="Arial" panose="020B0604020202020204" pitchFamily="34" charset="0"/>
              <a:cs typeface="Arial" panose="020B0604020202020204" pitchFamily="34" charset="0"/>
            </a:endParaRPr>
          </a:p>
        </xdr:txBody>
      </xdr:sp>
      <xdr:sp macro="" textlink="">
        <xdr:nvSpPr>
          <xdr:cNvPr id="474" name="TextBox 5">
            <a:extLst>
              <a:ext uri="{FF2B5EF4-FFF2-40B4-BE49-F238E27FC236}">
                <a16:creationId xmlns:a16="http://schemas.microsoft.com/office/drawing/2014/main" id="{205B4BF0-77B9-6F99-4967-8348FEBFB94D}"/>
              </a:ext>
            </a:extLst>
          </xdr:cNvPr>
          <xdr:cNvSpPr txBox="1"/>
        </xdr:nvSpPr>
        <xdr:spPr>
          <a:xfrm>
            <a:off x="5169142" y="8417933"/>
            <a:ext cx="1683834" cy="43857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b="1">
                <a:solidFill>
                  <a:srgbClr val="94C21F"/>
                </a:solidFill>
                <a:latin typeface="Arial" panose="020B0604020202020204" pitchFamily="34" charset="0"/>
                <a:cs typeface="Arial" panose="020B0604020202020204" pitchFamily="34" charset="0"/>
              </a:rPr>
              <a:t>Age 65+</a:t>
            </a:r>
            <a:endParaRPr lang="en-GB" sz="1100" b="1">
              <a:solidFill>
                <a:srgbClr val="94C21F"/>
              </a:solidFill>
              <a:latin typeface="Arial" panose="020B0604020202020204" pitchFamily="34" charset="0"/>
              <a:cs typeface="Arial" panose="020B0604020202020204" pitchFamily="34" charset="0"/>
            </a:endParaRPr>
          </a:p>
        </xdr:txBody>
      </xdr:sp>
      <xdr:sp macro="" textlink="">
        <xdr:nvSpPr>
          <xdr:cNvPr id="475" name="Rectangle: Diagonal Corners Rounded 41">
            <a:extLst>
              <a:ext uri="{FF2B5EF4-FFF2-40B4-BE49-F238E27FC236}">
                <a16:creationId xmlns:a16="http://schemas.microsoft.com/office/drawing/2014/main" id="{2BB922AB-960B-1CF3-381C-45E829584F0D}"/>
              </a:ext>
            </a:extLst>
          </xdr:cNvPr>
          <xdr:cNvSpPr/>
        </xdr:nvSpPr>
        <xdr:spPr>
          <a:xfrm>
            <a:off x="629751" y="7385053"/>
            <a:ext cx="2983244" cy="1521022"/>
          </a:xfrm>
          <a:prstGeom prst="round2DiagRect">
            <a:avLst/>
          </a:prstGeom>
          <a:noFill/>
          <a:ln w="38100">
            <a:solidFill>
              <a:srgbClr val="FF7A2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sp macro="" textlink="">
        <xdr:nvSpPr>
          <xdr:cNvPr id="476" name="Rectangle: Diagonal Corners Rounded 42">
            <a:extLst>
              <a:ext uri="{FF2B5EF4-FFF2-40B4-BE49-F238E27FC236}">
                <a16:creationId xmlns:a16="http://schemas.microsoft.com/office/drawing/2014/main" id="{A06FBC58-1331-54F7-B213-2CA7988FBD58}"/>
              </a:ext>
            </a:extLst>
          </xdr:cNvPr>
          <xdr:cNvSpPr/>
        </xdr:nvSpPr>
        <xdr:spPr>
          <a:xfrm rot="5400000">
            <a:off x="4439667" y="6662987"/>
            <a:ext cx="1515659" cy="2983242"/>
          </a:xfrm>
          <a:prstGeom prst="round2DiagRect">
            <a:avLst/>
          </a:prstGeom>
          <a:noFill/>
          <a:ln w="38100">
            <a:solidFill>
              <a:srgbClr val="94C21F"/>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sp macro="" textlink="">
        <xdr:nvSpPr>
          <xdr:cNvPr id="477" name="TextBox 12">
            <a:extLst>
              <a:ext uri="{FF2B5EF4-FFF2-40B4-BE49-F238E27FC236}">
                <a16:creationId xmlns:a16="http://schemas.microsoft.com/office/drawing/2014/main" id="{1B26E8C4-CAFA-7A56-1C82-FBC57301A598}"/>
              </a:ext>
            </a:extLst>
          </xdr:cNvPr>
          <xdr:cNvSpPr txBox="1"/>
        </xdr:nvSpPr>
        <xdr:spPr>
          <a:xfrm>
            <a:off x="2024622" y="7426705"/>
            <a:ext cx="3453257" cy="467476"/>
          </a:xfrm>
          <a:prstGeom prst="rect">
            <a:avLst/>
          </a:prstGeom>
          <a:solidFill>
            <a:schemeClr val="bg1"/>
          </a:solid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sz="1200">
                <a:solidFill>
                  <a:srgbClr val="2E2659"/>
                </a:solidFill>
                <a:latin typeface="Arial" panose="020B0604020202020204" pitchFamily="34" charset="0"/>
                <a:cs typeface="Arial" panose="020B0604020202020204" pitchFamily="34" charset="0"/>
              </a:rPr>
              <a:t>Average spend per person per year</a:t>
            </a:r>
          </a:p>
          <a:p>
            <a:pPr algn="ctr"/>
            <a:r>
              <a:rPr lang="en-GB" sz="1200">
                <a:solidFill>
                  <a:srgbClr val="2E2659"/>
                </a:solidFill>
                <a:latin typeface="Arial" panose="020B0604020202020204" pitchFamily="34" charset="0"/>
                <a:cs typeface="Arial" panose="020B0604020202020204" pitchFamily="34" charset="0"/>
              </a:rPr>
              <a:t>accessing adult social care</a:t>
            </a:r>
          </a:p>
        </xdr:txBody>
      </xdr:sp>
      <xdr:sp macro="" textlink="">
        <xdr:nvSpPr>
          <xdr:cNvPr id="478" name="TextBox 16">
            <a:extLst>
              <a:ext uri="{FF2B5EF4-FFF2-40B4-BE49-F238E27FC236}">
                <a16:creationId xmlns:a16="http://schemas.microsoft.com/office/drawing/2014/main" id="{8C3F9ABE-8237-BBEB-8ABF-F4D1BF13F43A}"/>
              </a:ext>
            </a:extLst>
          </xdr:cNvPr>
          <xdr:cNvSpPr txBox="1"/>
        </xdr:nvSpPr>
        <xdr:spPr>
          <a:xfrm>
            <a:off x="2099217" y="8108842"/>
            <a:ext cx="3314764" cy="549032"/>
          </a:xfrm>
          <a:prstGeom prst="rect">
            <a:avLst/>
          </a:prstGeom>
          <a:solidFill>
            <a:schemeClr val="bg1"/>
          </a:solid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sz="1200">
                <a:solidFill>
                  <a:srgbClr val="2E2659"/>
                </a:solidFill>
                <a:latin typeface="Arial" panose="020B0604020202020204" pitchFamily="34" charset="0"/>
                <a:cs typeface="Arial" panose="020B0604020202020204" pitchFamily="34" charset="0"/>
              </a:rPr>
              <a:t>Average spend per person per year</a:t>
            </a:r>
          </a:p>
          <a:p>
            <a:pPr algn="ctr"/>
            <a:r>
              <a:rPr lang="en-GB" sz="1200">
                <a:solidFill>
                  <a:srgbClr val="2E2659"/>
                </a:solidFill>
                <a:latin typeface="Arial" panose="020B0604020202020204" pitchFamily="34" charset="0"/>
                <a:cs typeface="Arial" panose="020B0604020202020204" pitchFamily="34" charset="0"/>
              </a:rPr>
              <a:t>in the population</a:t>
            </a:r>
          </a:p>
        </xdr:txBody>
      </xdr:sp>
    </xdr:grpSp>
    <xdr:clientData/>
  </xdr:twoCellAnchor>
  <xdr:twoCellAnchor>
    <xdr:from>
      <xdr:col>3</xdr:col>
      <xdr:colOff>144895</xdr:colOff>
      <xdr:row>124</xdr:row>
      <xdr:rowOff>149433</xdr:rowOff>
    </xdr:from>
    <xdr:to>
      <xdr:col>4</xdr:col>
      <xdr:colOff>354445</xdr:colOff>
      <xdr:row>125</xdr:row>
      <xdr:rowOff>174833</xdr:rowOff>
    </xdr:to>
    <xdr:sp macro="" textlink="Finance!B18">
      <xdr:nvSpPr>
        <xdr:cNvPr id="479" name="TextBox 47">
          <a:extLst>
            <a:ext uri="{FF2B5EF4-FFF2-40B4-BE49-F238E27FC236}">
              <a16:creationId xmlns:a16="http://schemas.microsoft.com/office/drawing/2014/main" id="{10044F8B-EB8F-4663-AD94-E71E30DBB1CE}"/>
            </a:ext>
          </a:extLst>
        </xdr:cNvPr>
        <xdr:cNvSpPr txBox="1"/>
      </xdr:nvSpPr>
      <xdr:spPr>
        <a:xfrm>
          <a:off x="1963304" y="23702160"/>
          <a:ext cx="815686" cy="2130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4D2FF315-7D51-44F4-87E1-EB67EEB4AB6B}" type="TxLink">
            <a:rPr lang="en-US" sz="1200" b="1" i="0" u="none" strike="noStrike">
              <a:solidFill>
                <a:srgbClr val="FF7A26"/>
              </a:solidFill>
              <a:latin typeface="Arial" panose="020B0604020202020204" pitchFamily="34" charset="0"/>
              <a:cs typeface="Arial" panose="020B0604020202020204" pitchFamily="34" charset="0"/>
            </a:rPr>
            <a:pPr/>
            <a:t>£29,124</a:t>
          </a:fld>
          <a:endParaRPr lang="en-GB" sz="1200" b="1">
            <a:latin typeface="Arial" panose="020B0604020202020204" pitchFamily="34" charset="0"/>
            <a:cs typeface="Arial" panose="020B0604020202020204" pitchFamily="34" charset="0"/>
          </a:endParaRPr>
        </a:p>
      </xdr:txBody>
    </xdr:sp>
    <xdr:clientData/>
  </xdr:twoCellAnchor>
  <xdr:twoCellAnchor>
    <xdr:from>
      <xdr:col>5</xdr:col>
      <xdr:colOff>248226</xdr:colOff>
      <xdr:row>124</xdr:row>
      <xdr:rowOff>143452</xdr:rowOff>
    </xdr:from>
    <xdr:to>
      <xdr:col>6</xdr:col>
      <xdr:colOff>457776</xdr:colOff>
      <xdr:row>125</xdr:row>
      <xdr:rowOff>149802</xdr:rowOff>
    </xdr:to>
    <xdr:sp macro="" textlink="Finance!B19">
      <xdr:nvSpPr>
        <xdr:cNvPr id="480" name="TextBox 48">
          <a:extLst>
            <a:ext uri="{FF2B5EF4-FFF2-40B4-BE49-F238E27FC236}">
              <a16:creationId xmlns:a16="http://schemas.microsoft.com/office/drawing/2014/main" id="{3552F037-40B8-46C0-B1C7-E3AE64885184}"/>
            </a:ext>
          </a:extLst>
        </xdr:cNvPr>
        <xdr:cNvSpPr txBox="1"/>
      </xdr:nvSpPr>
      <xdr:spPr>
        <a:xfrm>
          <a:off x="3278908" y="23696179"/>
          <a:ext cx="815686" cy="1939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7771E510-A599-4FDA-8A95-38D31EFDB7F9}" type="TxLink">
            <a:rPr lang="en-US" sz="1200" b="1" i="0" u="none" strike="noStrike">
              <a:solidFill>
                <a:srgbClr val="94C21F"/>
              </a:solidFill>
              <a:latin typeface="Arial" panose="020B0604020202020204" pitchFamily="34" charset="0"/>
              <a:cs typeface="Arial" panose="020B0604020202020204" pitchFamily="34" charset="0"/>
            </a:rPr>
            <a:pPr algn="ctr"/>
            <a:t>£18,141</a:t>
          </a:fld>
          <a:endParaRPr lang="en-GB" sz="1600" b="1">
            <a:latin typeface="Arial" panose="020B0604020202020204" pitchFamily="34" charset="0"/>
            <a:cs typeface="Arial" panose="020B0604020202020204" pitchFamily="34" charset="0"/>
          </a:endParaRPr>
        </a:p>
      </xdr:txBody>
    </xdr:sp>
    <xdr:clientData/>
  </xdr:twoCellAnchor>
  <xdr:twoCellAnchor>
    <xdr:from>
      <xdr:col>3</xdr:col>
      <xdr:colOff>150791</xdr:colOff>
      <xdr:row>127</xdr:row>
      <xdr:rowOff>115538</xdr:rowOff>
    </xdr:from>
    <xdr:to>
      <xdr:col>4</xdr:col>
      <xdr:colOff>150791</xdr:colOff>
      <xdr:row>128</xdr:row>
      <xdr:rowOff>153638</xdr:rowOff>
    </xdr:to>
    <xdr:sp macro="" textlink="Finance!B20">
      <xdr:nvSpPr>
        <xdr:cNvPr id="481" name="TextBox 49">
          <a:extLst>
            <a:ext uri="{FF2B5EF4-FFF2-40B4-BE49-F238E27FC236}">
              <a16:creationId xmlns:a16="http://schemas.microsoft.com/office/drawing/2014/main" id="{0336B712-6D8A-4F3D-9863-90E444DA7BFC}"/>
            </a:ext>
          </a:extLst>
        </xdr:cNvPr>
        <xdr:cNvSpPr txBox="1"/>
      </xdr:nvSpPr>
      <xdr:spPr>
        <a:xfrm>
          <a:off x="1969200" y="24231106"/>
          <a:ext cx="606136" cy="2257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1E8943A9-4465-4095-AF1C-DBF97E4354F3}" type="TxLink">
            <a:rPr lang="en-US" sz="1200" b="1" i="0" u="none" strike="noStrike">
              <a:solidFill>
                <a:srgbClr val="FF7A26"/>
              </a:solidFill>
              <a:latin typeface="Arial" panose="020B0604020202020204" pitchFamily="34" charset="0"/>
              <a:cs typeface="Arial" panose="020B0604020202020204" pitchFamily="34" charset="0"/>
            </a:rPr>
            <a:pPr/>
            <a:t>£346</a:t>
          </a:fld>
          <a:endParaRPr lang="en-GB" sz="1200" b="1">
            <a:latin typeface="Arial" panose="020B0604020202020204" pitchFamily="34" charset="0"/>
            <a:cs typeface="Arial" panose="020B0604020202020204" pitchFamily="34" charset="0"/>
          </a:endParaRPr>
        </a:p>
      </xdr:txBody>
    </xdr:sp>
    <xdr:clientData/>
  </xdr:twoCellAnchor>
  <xdr:twoCellAnchor>
    <xdr:from>
      <xdr:col>5</xdr:col>
      <xdr:colOff>335232</xdr:colOff>
      <xdr:row>127</xdr:row>
      <xdr:rowOff>136443</xdr:rowOff>
    </xdr:from>
    <xdr:to>
      <xdr:col>6</xdr:col>
      <xdr:colOff>481282</xdr:colOff>
      <xdr:row>128</xdr:row>
      <xdr:rowOff>111043</xdr:rowOff>
    </xdr:to>
    <xdr:sp macro="" textlink="Finance!B21">
      <xdr:nvSpPr>
        <xdr:cNvPr id="482" name="TextBox 50">
          <a:extLst>
            <a:ext uri="{FF2B5EF4-FFF2-40B4-BE49-F238E27FC236}">
              <a16:creationId xmlns:a16="http://schemas.microsoft.com/office/drawing/2014/main" id="{45F1F23F-2CF0-43A5-9A97-764EE3EEB782}"/>
            </a:ext>
          </a:extLst>
        </xdr:cNvPr>
        <xdr:cNvSpPr txBox="1"/>
      </xdr:nvSpPr>
      <xdr:spPr>
        <a:xfrm>
          <a:off x="3365914" y="24252011"/>
          <a:ext cx="752186" cy="1622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A556FE08-CE49-4F1D-AC6C-BC7DF5824265}" type="TxLink">
            <a:rPr lang="en-US" sz="1200" b="1" i="0" u="none" strike="noStrike">
              <a:solidFill>
                <a:srgbClr val="94C21F"/>
              </a:solidFill>
              <a:latin typeface="Arial" panose="020B0604020202020204" pitchFamily="34" charset="0"/>
              <a:cs typeface="Arial" panose="020B0604020202020204" pitchFamily="34" charset="0"/>
            </a:rPr>
            <a:pPr/>
            <a:t>£1,053</a:t>
          </a:fld>
          <a:endParaRPr lang="en-GB" sz="1200" b="1">
            <a:latin typeface="Arial" panose="020B0604020202020204" pitchFamily="34" charset="0"/>
            <a:cs typeface="Arial" panose="020B0604020202020204" pitchFamily="34" charset="0"/>
          </a:endParaRPr>
        </a:p>
      </xdr:txBody>
    </xdr:sp>
    <xdr:clientData/>
  </xdr:twoCellAnchor>
  <xdr:twoCellAnchor>
    <xdr:from>
      <xdr:col>0</xdr:col>
      <xdr:colOff>54428</xdr:colOff>
      <xdr:row>129</xdr:row>
      <xdr:rowOff>54429</xdr:rowOff>
    </xdr:from>
    <xdr:to>
      <xdr:col>4</xdr:col>
      <xdr:colOff>190500</xdr:colOff>
      <xdr:row>142</xdr:row>
      <xdr:rowOff>115455</xdr:rowOff>
    </xdr:to>
    <xdr:graphicFrame macro="">
      <xdr:nvGraphicFramePr>
        <xdr:cNvPr id="486" name="Chart 33">
          <a:extLst>
            <a:ext uri="{FF2B5EF4-FFF2-40B4-BE49-F238E27FC236}">
              <a16:creationId xmlns:a16="http://schemas.microsoft.com/office/drawing/2014/main" id="{2995BD9B-D284-4936-BF35-CD70F51A30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4</xdr:col>
      <xdr:colOff>136071</xdr:colOff>
      <xdr:row>129</xdr:row>
      <xdr:rowOff>105682</xdr:rowOff>
    </xdr:from>
    <xdr:to>
      <xdr:col>9</xdr:col>
      <xdr:colOff>504825</xdr:colOff>
      <xdr:row>144</xdr:row>
      <xdr:rowOff>126711</xdr:rowOff>
    </xdr:to>
    <xdr:graphicFrame macro="">
      <xdr:nvGraphicFramePr>
        <xdr:cNvPr id="489" name="Chart 34">
          <a:extLst>
            <a:ext uri="{FF2B5EF4-FFF2-40B4-BE49-F238E27FC236}">
              <a16:creationId xmlns:a16="http://schemas.microsoft.com/office/drawing/2014/main" id="{E5958E5A-1D49-49E9-9712-F0104F498D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17</xdr:col>
      <xdr:colOff>333953</xdr:colOff>
      <xdr:row>12</xdr:row>
      <xdr:rowOff>28863</xdr:rowOff>
    </xdr:from>
    <xdr:to>
      <xdr:col>19</xdr:col>
      <xdr:colOff>481784</xdr:colOff>
      <xdr:row>18</xdr:row>
      <xdr:rowOff>37305</xdr:rowOff>
    </xdr:to>
    <xdr:sp macro="" textlink="">
      <xdr:nvSpPr>
        <xdr:cNvPr id="89" name="Hexagon 119">
          <a:extLst>
            <a:ext uri="{FF2B5EF4-FFF2-40B4-BE49-F238E27FC236}">
              <a16:creationId xmlns:a16="http://schemas.microsoft.com/office/drawing/2014/main" id="{B99F0AD9-5FCA-4946-86A8-4A102A33F5D9}"/>
            </a:ext>
          </a:extLst>
        </xdr:cNvPr>
        <xdr:cNvSpPr/>
      </xdr:nvSpPr>
      <xdr:spPr>
        <a:xfrm>
          <a:off x="10638271" y="2280227"/>
          <a:ext cx="1360104" cy="1134123"/>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15</xdr:col>
      <xdr:colOff>375228</xdr:colOff>
      <xdr:row>15</xdr:row>
      <xdr:rowOff>66963</xdr:rowOff>
    </xdr:from>
    <xdr:to>
      <xdr:col>17</xdr:col>
      <xdr:colOff>519884</xdr:colOff>
      <xdr:row>21</xdr:row>
      <xdr:rowOff>75405</xdr:rowOff>
    </xdr:to>
    <xdr:sp macro="" textlink="">
      <xdr:nvSpPr>
        <xdr:cNvPr id="90" name="Hexagon 119">
          <a:extLst>
            <a:ext uri="{FF2B5EF4-FFF2-40B4-BE49-F238E27FC236}">
              <a16:creationId xmlns:a16="http://schemas.microsoft.com/office/drawing/2014/main" id="{D5E6F331-AB54-41E6-B3F9-330AED57C0AF}"/>
            </a:ext>
          </a:extLst>
        </xdr:cNvPr>
        <xdr:cNvSpPr/>
      </xdr:nvSpPr>
      <xdr:spPr>
        <a:xfrm>
          <a:off x="9467273" y="2881168"/>
          <a:ext cx="1356929" cy="1134123"/>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15</xdr:col>
      <xdr:colOff>406125</xdr:colOff>
      <xdr:row>28</xdr:row>
      <xdr:rowOff>112421</xdr:rowOff>
    </xdr:from>
    <xdr:to>
      <xdr:col>17</xdr:col>
      <xdr:colOff>544143</xdr:colOff>
      <xdr:row>34</xdr:row>
      <xdr:rowOff>114511</xdr:rowOff>
    </xdr:to>
    <xdr:sp macro="" textlink="">
      <xdr:nvSpPr>
        <xdr:cNvPr id="91" name="Hexagon 116">
          <a:extLst>
            <a:ext uri="{FF2B5EF4-FFF2-40B4-BE49-F238E27FC236}">
              <a16:creationId xmlns:a16="http://schemas.microsoft.com/office/drawing/2014/main" id="{04AC5F8C-5EF8-49A7-88BE-AB28A598E602}"/>
            </a:ext>
          </a:extLst>
        </xdr:cNvPr>
        <xdr:cNvSpPr/>
      </xdr:nvSpPr>
      <xdr:spPr>
        <a:xfrm>
          <a:off x="9498170" y="5365603"/>
          <a:ext cx="1350291" cy="1127772"/>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17</xdr:col>
      <xdr:colOff>351222</xdr:colOff>
      <xdr:row>25</xdr:row>
      <xdr:rowOff>50779</xdr:rowOff>
    </xdr:from>
    <xdr:to>
      <xdr:col>19</xdr:col>
      <xdr:colOff>495879</xdr:colOff>
      <xdr:row>31</xdr:row>
      <xdr:rowOff>59220</xdr:rowOff>
    </xdr:to>
    <xdr:sp macro="" textlink="">
      <xdr:nvSpPr>
        <xdr:cNvPr id="92" name="Hexagon 118">
          <a:extLst>
            <a:ext uri="{FF2B5EF4-FFF2-40B4-BE49-F238E27FC236}">
              <a16:creationId xmlns:a16="http://schemas.microsoft.com/office/drawing/2014/main" id="{33B0B717-8D04-47A5-B3BA-02E09CC301A5}"/>
            </a:ext>
          </a:extLst>
        </xdr:cNvPr>
        <xdr:cNvSpPr/>
      </xdr:nvSpPr>
      <xdr:spPr>
        <a:xfrm>
          <a:off x="10655540" y="4741120"/>
          <a:ext cx="1356930" cy="1134123"/>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15</xdr:col>
      <xdr:colOff>393505</xdr:colOff>
      <xdr:row>22</xdr:row>
      <xdr:rowOff>2303</xdr:rowOff>
    </xdr:from>
    <xdr:to>
      <xdr:col>17</xdr:col>
      <xdr:colOff>534986</xdr:colOff>
      <xdr:row>28</xdr:row>
      <xdr:rowOff>4394</xdr:rowOff>
    </xdr:to>
    <xdr:sp macro="" textlink="">
      <xdr:nvSpPr>
        <xdr:cNvPr id="93" name="Hexagon 119">
          <a:extLst>
            <a:ext uri="{FF2B5EF4-FFF2-40B4-BE49-F238E27FC236}">
              <a16:creationId xmlns:a16="http://schemas.microsoft.com/office/drawing/2014/main" id="{033775ED-0B2B-4E2B-B197-3C1CFE7F3EFA}"/>
            </a:ext>
          </a:extLst>
        </xdr:cNvPr>
        <xdr:cNvSpPr/>
      </xdr:nvSpPr>
      <xdr:spPr>
        <a:xfrm>
          <a:off x="9485550" y="4129803"/>
          <a:ext cx="1353754" cy="1127773"/>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17</xdr:col>
      <xdr:colOff>330081</xdr:colOff>
      <xdr:row>18</xdr:row>
      <xdr:rowOff>111414</xdr:rowOff>
    </xdr:from>
    <xdr:to>
      <xdr:col>19</xdr:col>
      <xdr:colOff>471563</xdr:colOff>
      <xdr:row>24</xdr:row>
      <xdr:rowOff>123030</xdr:rowOff>
    </xdr:to>
    <xdr:sp macro="" textlink="">
      <xdr:nvSpPr>
        <xdr:cNvPr id="97" name="Hexagon 120">
          <a:extLst>
            <a:ext uri="{FF2B5EF4-FFF2-40B4-BE49-F238E27FC236}">
              <a16:creationId xmlns:a16="http://schemas.microsoft.com/office/drawing/2014/main" id="{B248B541-4F23-485E-A3A7-DC0469A9F1E5}"/>
            </a:ext>
          </a:extLst>
        </xdr:cNvPr>
        <xdr:cNvSpPr/>
      </xdr:nvSpPr>
      <xdr:spPr>
        <a:xfrm>
          <a:off x="10634399" y="3488459"/>
          <a:ext cx="1353755" cy="1137298"/>
        </a:xfrm>
        <a:prstGeom prst="hexagon">
          <a:avLst/>
        </a:prstGeom>
        <a:solidFill>
          <a:srgbClr val="FF7A2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400">
            <a:highlight>
              <a:srgbClr val="FFFF00"/>
            </a:highlight>
            <a:latin typeface="Arial" panose="020B0604020202020204" pitchFamily="34" charset="0"/>
            <a:cs typeface="Arial" panose="020B0604020202020204" pitchFamily="34" charset="0"/>
          </a:endParaRPr>
        </a:p>
      </xdr:txBody>
    </xdr:sp>
    <xdr:clientData/>
  </xdr:twoCellAnchor>
  <xdr:twoCellAnchor>
    <xdr:from>
      <xdr:col>18</xdr:col>
      <xdr:colOff>13122</xdr:colOff>
      <xdr:row>12</xdr:row>
      <xdr:rowOff>170006</xdr:rowOff>
    </xdr:from>
    <xdr:to>
      <xdr:col>19</xdr:col>
      <xdr:colOff>132767</xdr:colOff>
      <xdr:row>17</xdr:row>
      <xdr:rowOff>30018</xdr:rowOff>
    </xdr:to>
    <xdr:sp macro="" textlink="Workforce!A19">
      <xdr:nvSpPr>
        <xdr:cNvPr id="98" name="TextBox 105">
          <a:extLst>
            <a:ext uri="{FF2B5EF4-FFF2-40B4-BE49-F238E27FC236}">
              <a16:creationId xmlns:a16="http://schemas.microsoft.com/office/drawing/2014/main" id="{D29D0339-11C0-4FA2-8733-2D658DA471B1}"/>
            </a:ext>
          </a:extLst>
        </xdr:cNvPr>
        <xdr:cNvSpPr txBox="1"/>
      </xdr:nvSpPr>
      <xdr:spPr>
        <a:xfrm>
          <a:off x="10923577" y="2421370"/>
          <a:ext cx="725781" cy="798080"/>
        </a:xfrm>
        <a:prstGeom prst="rect">
          <a:avLst/>
        </a:prstGeom>
        <a:solidFill>
          <a:srgbClr val="FF7A2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8F92188-2CAF-4E2E-85E8-49814F0A033C}" type="TxLink">
            <a:rPr lang="en-US" sz="1400" b="0" i="0" u="none" strike="noStrike">
              <a:solidFill>
                <a:schemeClr val="bg1"/>
              </a:solidFill>
              <a:latin typeface="Arial" panose="020B0604020202020204" pitchFamily="34" charset="0"/>
              <a:cs typeface="Arial" panose="020B0604020202020204" pitchFamily="34" charset="0"/>
            </a:rPr>
            <a:pPr algn="ctr"/>
            <a:t>50% Part Time</a:t>
          </a:fld>
          <a:endParaRPr lang="en-GB" sz="1400">
            <a:solidFill>
              <a:schemeClr val="bg1"/>
            </a:solidFill>
            <a:latin typeface="Arial" panose="020B0604020202020204" pitchFamily="34" charset="0"/>
            <a:cs typeface="Arial" panose="020B0604020202020204" pitchFamily="34" charset="0"/>
          </a:endParaRPr>
        </a:p>
      </xdr:txBody>
    </xdr:sp>
    <xdr:clientData/>
  </xdr:twoCellAnchor>
  <xdr:twoCellAnchor>
    <xdr:from>
      <xdr:col>16</xdr:col>
      <xdr:colOff>60901</xdr:colOff>
      <xdr:row>29</xdr:row>
      <xdr:rowOff>45458</xdr:rowOff>
    </xdr:from>
    <xdr:to>
      <xdr:col>17</xdr:col>
      <xdr:colOff>288524</xdr:colOff>
      <xdr:row>33</xdr:row>
      <xdr:rowOff>101600</xdr:rowOff>
    </xdr:to>
    <xdr:sp macro="" textlink="">
      <xdr:nvSpPr>
        <xdr:cNvPr id="99" name="TextBox 115">
          <a:extLst>
            <a:ext uri="{FF2B5EF4-FFF2-40B4-BE49-F238E27FC236}">
              <a16:creationId xmlns:a16="http://schemas.microsoft.com/office/drawing/2014/main" id="{4DED9D2F-5575-42B9-B25C-7A8E26A28429}"/>
            </a:ext>
          </a:extLst>
        </xdr:cNvPr>
        <xdr:cNvSpPr txBox="1"/>
      </xdr:nvSpPr>
      <xdr:spPr>
        <a:xfrm>
          <a:off x="9759083" y="5486253"/>
          <a:ext cx="833759" cy="806597"/>
        </a:xfrm>
        <a:prstGeom prst="rect">
          <a:avLst/>
        </a:prstGeom>
        <a:solidFill>
          <a:srgbClr val="FF7A2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0" i="1" u="none" strike="noStrike">
              <a:solidFill>
                <a:schemeClr val="bg1"/>
              </a:solidFill>
              <a:latin typeface="Arial" panose="020B0604020202020204" pitchFamily="34" charset="0"/>
              <a:cs typeface="Arial" panose="020B0604020202020204" pitchFamily="34" charset="0"/>
            </a:rPr>
            <a:t>All Sectors, All</a:t>
          </a:r>
          <a:r>
            <a:rPr lang="en-US" sz="1100" b="0" i="1" u="none" strike="noStrike" baseline="0">
              <a:solidFill>
                <a:schemeClr val="bg1"/>
              </a:solidFill>
              <a:latin typeface="Arial" panose="020B0604020202020204" pitchFamily="34" charset="0"/>
              <a:cs typeface="Arial" panose="020B0604020202020204" pitchFamily="34" charset="0"/>
            </a:rPr>
            <a:t> Services</a:t>
          </a:r>
        </a:p>
      </xdr:txBody>
    </xdr:sp>
    <xdr:clientData/>
  </xdr:twoCellAnchor>
  <xdr:twoCellAnchor>
    <xdr:from>
      <xdr:col>16</xdr:col>
      <xdr:colOff>54400</xdr:colOff>
      <xdr:row>16</xdr:row>
      <xdr:rowOff>30018</xdr:rowOff>
    </xdr:from>
    <xdr:to>
      <xdr:col>17</xdr:col>
      <xdr:colOff>235298</xdr:colOff>
      <xdr:row>19</xdr:row>
      <xdr:rowOff>182707</xdr:rowOff>
    </xdr:to>
    <xdr:sp macro="" textlink="Workforce!A20">
      <xdr:nvSpPr>
        <xdr:cNvPr id="100" name="TextBox 122">
          <a:extLst>
            <a:ext uri="{FF2B5EF4-FFF2-40B4-BE49-F238E27FC236}">
              <a16:creationId xmlns:a16="http://schemas.microsoft.com/office/drawing/2014/main" id="{D5C6E0B1-C3D4-4FE7-89BA-CB6176C7E81D}"/>
            </a:ext>
          </a:extLst>
        </xdr:cNvPr>
        <xdr:cNvSpPr txBox="1"/>
      </xdr:nvSpPr>
      <xdr:spPr>
        <a:xfrm>
          <a:off x="9752582" y="3031836"/>
          <a:ext cx="787034" cy="715530"/>
        </a:xfrm>
        <a:prstGeom prst="rect">
          <a:avLst/>
        </a:prstGeom>
        <a:solidFill>
          <a:srgbClr val="FF7A2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C10A361C-53B1-4FD1-8E41-D1064543D5F6}" type="TxLink">
            <a:rPr lang="en-US" sz="1400" b="0" i="0" u="none" strike="noStrike">
              <a:solidFill>
                <a:schemeClr val="bg1"/>
              </a:solidFill>
              <a:latin typeface="Arial" panose="020B0604020202020204" pitchFamily="34" charset="0"/>
              <a:cs typeface="Arial" panose="020B0604020202020204" pitchFamily="34" charset="0"/>
            </a:rPr>
            <a:pPr algn="ctr"/>
            <a:t>78% Female</a:t>
          </a:fld>
          <a:endParaRPr lang="en-GB" sz="1600">
            <a:solidFill>
              <a:schemeClr val="bg1"/>
            </a:solidFill>
            <a:latin typeface="Arial" panose="020B0604020202020204" pitchFamily="34" charset="0"/>
            <a:cs typeface="Arial" panose="020B0604020202020204" pitchFamily="34" charset="0"/>
          </a:endParaRPr>
        </a:p>
      </xdr:txBody>
    </xdr:sp>
    <xdr:clientData/>
  </xdr:twoCellAnchor>
  <xdr:twoCellAnchor>
    <xdr:from>
      <xdr:col>17</xdr:col>
      <xdr:colOff>566526</xdr:colOff>
      <xdr:row>19</xdr:row>
      <xdr:rowOff>33193</xdr:rowOff>
    </xdr:from>
    <xdr:to>
      <xdr:col>19</xdr:col>
      <xdr:colOff>243040</xdr:colOff>
      <xdr:row>23</xdr:row>
      <xdr:rowOff>179531</xdr:rowOff>
    </xdr:to>
    <xdr:sp macro="" textlink="Workforce!A21">
      <xdr:nvSpPr>
        <xdr:cNvPr id="101" name="TextBox 123">
          <a:extLst>
            <a:ext uri="{FF2B5EF4-FFF2-40B4-BE49-F238E27FC236}">
              <a16:creationId xmlns:a16="http://schemas.microsoft.com/office/drawing/2014/main" id="{E6730500-A26F-42F4-8922-448352C9FEAB}"/>
            </a:ext>
          </a:extLst>
        </xdr:cNvPr>
        <xdr:cNvSpPr txBox="1"/>
      </xdr:nvSpPr>
      <xdr:spPr>
        <a:xfrm>
          <a:off x="10870844" y="3597852"/>
          <a:ext cx="888787" cy="896793"/>
        </a:xfrm>
        <a:prstGeom prst="rect">
          <a:avLst/>
        </a:prstGeom>
        <a:solidFill>
          <a:srgbClr val="FF7A2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76297833-0810-463E-B2F7-B08A120CC84E}" type="TxLink">
            <a:rPr lang="en-US" sz="1050" b="0" i="0" u="none" strike="noStrike">
              <a:solidFill>
                <a:schemeClr val="bg1"/>
              </a:solidFill>
              <a:latin typeface="Arial" panose="020B0604020202020204" pitchFamily="34" charset="0"/>
              <a:cs typeface="Arial" panose="020B0604020202020204" pitchFamily="34" charset="0"/>
            </a:rPr>
            <a:pPr algn="ctr"/>
            <a:t>20% from an ethnic minority background</a:t>
          </a:fld>
          <a:endParaRPr lang="en-GB" sz="1100">
            <a:solidFill>
              <a:schemeClr val="bg1"/>
            </a:solidFill>
            <a:latin typeface="Arial" panose="020B0604020202020204" pitchFamily="34" charset="0"/>
            <a:cs typeface="Arial" panose="020B0604020202020204" pitchFamily="34" charset="0"/>
          </a:endParaRPr>
        </a:p>
      </xdr:txBody>
    </xdr:sp>
    <xdr:clientData/>
  </xdr:twoCellAnchor>
  <xdr:twoCellAnchor>
    <xdr:from>
      <xdr:col>16</xdr:col>
      <xdr:colOff>50219</xdr:colOff>
      <xdr:row>23</xdr:row>
      <xdr:rowOff>65717</xdr:rowOff>
    </xdr:from>
    <xdr:to>
      <xdr:col>17</xdr:col>
      <xdr:colOff>311342</xdr:colOff>
      <xdr:row>26</xdr:row>
      <xdr:rowOff>142438</xdr:rowOff>
    </xdr:to>
    <xdr:sp macro="" textlink="Workforce!A22">
      <xdr:nvSpPr>
        <xdr:cNvPr id="102" name="TextBox 124">
          <a:extLst>
            <a:ext uri="{FF2B5EF4-FFF2-40B4-BE49-F238E27FC236}">
              <a16:creationId xmlns:a16="http://schemas.microsoft.com/office/drawing/2014/main" id="{57C131B7-5CD7-4FB9-8825-C390BA21901F}"/>
            </a:ext>
          </a:extLst>
        </xdr:cNvPr>
        <xdr:cNvSpPr txBox="1"/>
      </xdr:nvSpPr>
      <xdr:spPr>
        <a:xfrm>
          <a:off x="9748401" y="4380831"/>
          <a:ext cx="867259" cy="639562"/>
        </a:xfrm>
        <a:prstGeom prst="rect">
          <a:avLst/>
        </a:prstGeom>
        <a:solidFill>
          <a:srgbClr val="FF7A2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C12CD36-D52E-4CF3-8206-0BF66F63E016}" type="TxLink">
            <a:rPr lang="en-US" sz="1200" b="0" i="0" u="none" strike="noStrike">
              <a:solidFill>
                <a:schemeClr val="bg1"/>
              </a:solidFill>
              <a:latin typeface="Arial" panose="020B0604020202020204" pitchFamily="34" charset="0"/>
              <a:cs typeface="Arial" panose="020B0604020202020204" pitchFamily="34" charset="0"/>
            </a:rPr>
            <a:pPr algn="ctr"/>
            <a:t>24% non-British</a:t>
          </a:fld>
          <a:endParaRPr lang="en-GB" sz="1400">
            <a:solidFill>
              <a:schemeClr val="bg1"/>
            </a:solidFill>
            <a:latin typeface="Arial" panose="020B0604020202020204" pitchFamily="34" charset="0"/>
            <a:cs typeface="Arial" panose="020B0604020202020204" pitchFamily="34" charset="0"/>
          </a:endParaRPr>
        </a:p>
      </xdr:txBody>
    </xdr:sp>
    <xdr:clientData/>
  </xdr:twoCellAnchor>
  <xdr:twoCellAnchor>
    <xdr:from>
      <xdr:col>17</xdr:col>
      <xdr:colOff>601370</xdr:colOff>
      <xdr:row>26</xdr:row>
      <xdr:rowOff>23434</xdr:rowOff>
    </xdr:from>
    <xdr:to>
      <xdr:col>19</xdr:col>
      <xdr:colOff>296472</xdr:colOff>
      <xdr:row>30</xdr:row>
      <xdr:rowOff>20259</xdr:rowOff>
    </xdr:to>
    <xdr:sp macro="" textlink="Workforce!A23">
      <xdr:nvSpPr>
        <xdr:cNvPr id="103" name="TextBox 125">
          <a:extLst>
            <a:ext uri="{FF2B5EF4-FFF2-40B4-BE49-F238E27FC236}">
              <a16:creationId xmlns:a16="http://schemas.microsoft.com/office/drawing/2014/main" id="{EA301495-7C5B-45A1-A26E-CE9A001D2F98}"/>
            </a:ext>
          </a:extLst>
        </xdr:cNvPr>
        <xdr:cNvSpPr txBox="1"/>
      </xdr:nvSpPr>
      <xdr:spPr>
        <a:xfrm>
          <a:off x="10905688" y="4901389"/>
          <a:ext cx="907375" cy="747279"/>
        </a:xfrm>
        <a:prstGeom prst="rect">
          <a:avLst/>
        </a:prstGeom>
        <a:solidFill>
          <a:srgbClr val="FF7A26"/>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B37725F-D124-479F-A375-ECB82C5070C5}" type="TxLink">
            <a:rPr lang="en-US" sz="1400" b="0" i="0" u="none" strike="noStrike">
              <a:solidFill>
                <a:schemeClr val="bg1"/>
              </a:solidFill>
              <a:latin typeface="Arial" panose="020B0604020202020204" pitchFamily="34" charset="0"/>
              <a:cs typeface="Arial" panose="020B0604020202020204" pitchFamily="34" charset="0"/>
            </a:rPr>
            <a:pPr algn="ctr"/>
            <a:t>Average Age of 44</a:t>
          </a:fld>
          <a:endParaRPr lang="en-GB" sz="1600">
            <a:solidFill>
              <a:schemeClr val="bg1"/>
            </a:solidFill>
            <a:latin typeface="Arial" panose="020B0604020202020204" pitchFamily="34" charset="0"/>
            <a:cs typeface="Arial" panose="020B0604020202020204" pitchFamily="34" charset="0"/>
          </a:endParaRPr>
        </a:p>
      </xdr:txBody>
    </xdr:sp>
    <xdr:clientData/>
  </xdr:twoCellAnchor>
  <xdr:twoCellAnchor>
    <xdr:from>
      <xdr:col>16</xdr:col>
      <xdr:colOff>158750</xdr:colOff>
      <xdr:row>35</xdr:row>
      <xdr:rowOff>86591</xdr:rowOff>
    </xdr:from>
    <xdr:to>
      <xdr:col>19</xdr:col>
      <xdr:colOff>368167</xdr:colOff>
      <xdr:row>46</xdr:row>
      <xdr:rowOff>68570</xdr:rowOff>
    </xdr:to>
    <xdr:sp macro="" textlink="">
      <xdr:nvSpPr>
        <xdr:cNvPr id="104" name="Oval 4">
          <a:extLst>
            <a:ext uri="{FF2B5EF4-FFF2-40B4-BE49-F238E27FC236}">
              <a16:creationId xmlns:a16="http://schemas.microsoft.com/office/drawing/2014/main" id="{16D40C23-4018-4B27-BEA6-63F78AD89B5F}"/>
            </a:ext>
          </a:extLst>
        </xdr:cNvPr>
        <xdr:cNvSpPr/>
      </xdr:nvSpPr>
      <xdr:spPr>
        <a:xfrm>
          <a:off x="9856932" y="6653068"/>
          <a:ext cx="2027826" cy="2045729"/>
        </a:xfrm>
        <a:prstGeom prst="ellipse">
          <a:avLst/>
        </a:prstGeom>
        <a:solidFill>
          <a:srgbClr val="339EA8"/>
        </a:solidFill>
        <a:ln>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000">
            <a:highlight>
              <a:srgbClr val="FFFF00"/>
            </a:highlight>
            <a:latin typeface="Arial" panose="020B0604020202020204" pitchFamily="34" charset="0"/>
            <a:cs typeface="Arial" panose="020B0604020202020204" pitchFamily="34" charset="0"/>
          </a:endParaRPr>
        </a:p>
      </xdr:txBody>
    </xdr:sp>
    <xdr:clientData/>
  </xdr:twoCellAnchor>
  <xdr:twoCellAnchor>
    <xdr:from>
      <xdr:col>16</xdr:col>
      <xdr:colOff>207741</xdr:colOff>
      <xdr:row>37</xdr:row>
      <xdr:rowOff>117909</xdr:rowOff>
    </xdr:from>
    <xdr:to>
      <xdr:col>19</xdr:col>
      <xdr:colOff>335538</xdr:colOff>
      <xdr:row>43</xdr:row>
      <xdr:rowOff>173183</xdr:rowOff>
    </xdr:to>
    <xdr:sp macro="" textlink="">
      <xdr:nvSpPr>
        <xdr:cNvPr id="105" name="TextBox 70">
          <a:extLst>
            <a:ext uri="{FF2B5EF4-FFF2-40B4-BE49-F238E27FC236}">
              <a16:creationId xmlns:a16="http://schemas.microsoft.com/office/drawing/2014/main" id="{B7E4F7AA-6818-4097-B5BB-15223EEFEFBF}"/>
            </a:ext>
          </a:extLst>
        </xdr:cNvPr>
        <xdr:cNvSpPr txBox="1"/>
      </xdr:nvSpPr>
      <xdr:spPr>
        <a:xfrm>
          <a:off x="9905923" y="7059614"/>
          <a:ext cx="1946206" cy="1180955"/>
        </a:xfrm>
        <a:prstGeom prst="rect">
          <a:avLst/>
        </a:prstGeom>
        <a:no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GB" sz="1200">
              <a:solidFill>
                <a:schemeClr val="bg1"/>
              </a:solidFill>
              <a:latin typeface="Arial" panose="020B0604020202020204" pitchFamily="34" charset="0"/>
              <a:cs typeface="Arial" panose="020B0604020202020204" pitchFamily="34" charset="0"/>
            </a:rPr>
            <a:t>Unpaid carer </a:t>
          </a:r>
        </a:p>
        <a:p>
          <a:pPr algn="ctr"/>
          <a:r>
            <a:rPr lang="en-GB" sz="1200">
              <a:solidFill>
                <a:schemeClr val="bg1"/>
              </a:solidFill>
              <a:latin typeface="Arial" panose="020B0604020202020204" pitchFamily="34" charset="0"/>
              <a:cs typeface="Arial" panose="020B0604020202020204" pitchFamily="34" charset="0"/>
            </a:rPr>
            <a:t>support is estimated</a:t>
          </a:r>
        </a:p>
        <a:p>
          <a:pPr algn="ctr"/>
          <a:r>
            <a:rPr lang="en-GB" sz="1200">
              <a:solidFill>
                <a:schemeClr val="bg1"/>
              </a:solidFill>
              <a:latin typeface="Arial" panose="020B0604020202020204" pitchFamily="34" charset="0"/>
              <a:cs typeface="Arial" panose="020B0604020202020204" pitchFamily="34" charset="0"/>
            </a:rPr>
            <a:t> to be worth</a:t>
          </a:r>
        </a:p>
        <a:p>
          <a:pPr algn="ctr"/>
          <a:r>
            <a:rPr lang="en-GB" sz="2400" b="1">
              <a:solidFill>
                <a:schemeClr val="bg1"/>
              </a:solidFill>
              <a:latin typeface="Arial" panose="020B0604020202020204" pitchFamily="34" charset="0"/>
              <a:cs typeface="Arial" panose="020B0604020202020204" pitchFamily="34" charset="0"/>
            </a:rPr>
            <a:t>£152 billion </a:t>
          </a:r>
        </a:p>
        <a:p>
          <a:pPr algn="ctr">
            <a:spcAft>
              <a:spcPts val="600"/>
            </a:spcAft>
          </a:pPr>
          <a:r>
            <a:rPr lang="en-GB" sz="1200">
              <a:solidFill>
                <a:schemeClr val="bg1"/>
              </a:solidFill>
              <a:latin typeface="Arial" panose="020B0604020202020204" pitchFamily="34" charset="0"/>
              <a:cs typeface="Arial" panose="020B0604020202020204" pitchFamily="34" charset="0"/>
            </a:rPr>
            <a:t>per year in England</a:t>
          </a:r>
        </a:p>
      </xdr:txBody>
    </xdr:sp>
    <xdr:clientData/>
  </xdr:twoCellAnchor>
  <xdr:twoCellAnchor>
    <xdr:from>
      <xdr:col>10</xdr:col>
      <xdr:colOff>104198</xdr:colOff>
      <xdr:row>30</xdr:row>
      <xdr:rowOff>161925</xdr:rowOff>
    </xdr:from>
    <xdr:to>
      <xdr:col>16</xdr:col>
      <xdr:colOff>59747</xdr:colOff>
      <xdr:row>41</xdr:row>
      <xdr:rowOff>152457</xdr:rowOff>
    </xdr:to>
    <xdr:grpSp>
      <xdr:nvGrpSpPr>
        <xdr:cNvPr id="106" name="Group 105">
          <a:extLst>
            <a:ext uri="{FF2B5EF4-FFF2-40B4-BE49-F238E27FC236}">
              <a16:creationId xmlns:a16="http://schemas.microsoft.com/office/drawing/2014/main" id="{B1583EE3-8418-413F-97F4-4366A8C29F81}"/>
            </a:ext>
          </a:extLst>
        </xdr:cNvPr>
        <xdr:cNvGrpSpPr/>
      </xdr:nvGrpSpPr>
      <xdr:grpSpPr>
        <a:xfrm>
          <a:off x="6245706" y="5556250"/>
          <a:ext cx="3635374" cy="1972790"/>
          <a:chOff x="1947615" y="4222509"/>
          <a:chExt cx="5284770" cy="1544526"/>
        </a:xfrm>
      </xdr:grpSpPr>
      <xdr:sp macro="" textlink="Workforce!B25">
        <xdr:nvSpPr>
          <xdr:cNvPr id="107" name="TextBox 28">
            <a:extLst>
              <a:ext uri="{FF2B5EF4-FFF2-40B4-BE49-F238E27FC236}">
                <a16:creationId xmlns:a16="http://schemas.microsoft.com/office/drawing/2014/main" id="{5FC5D1C2-EA68-E474-9F1D-62C9CF07EC49}"/>
              </a:ext>
            </a:extLst>
          </xdr:cNvPr>
          <xdr:cNvSpPr txBox="1"/>
        </xdr:nvSpPr>
        <xdr:spPr>
          <a:xfrm>
            <a:off x="2403669" y="4222509"/>
            <a:ext cx="2227030" cy="491776"/>
          </a:xfrm>
          <a:prstGeom prst="rect">
            <a:avLst/>
          </a:prstGeom>
          <a:no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fld id="{5038230C-CEE4-4784-B1A6-A8744144D47C}" type="TxLink">
              <a:rPr lang="en-US" sz="1200" b="0" i="0" u="none" strike="noStrike">
                <a:solidFill>
                  <a:srgbClr val="008591"/>
                </a:solidFill>
                <a:latin typeface="Arial" panose="020B0604020202020204" pitchFamily="34" charset="0"/>
                <a:cs typeface="Arial" panose="020B0604020202020204" pitchFamily="34" charset="0"/>
              </a:rPr>
              <a:pPr algn="r"/>
              <a:t>68% direct care
17,000 posts in a direct care role</a:t>
            </a:fld>
            <a:endParaRPr lang="en-GB" sz="400">
              <a:solidFill>
                <a:srgbClr val="00636E"/>
              </a:solidFill>
              <a:highlight>
                <a:srgbClr val="FFFF00"/>
              </a:highlight>
              <a:latin typeface="Arial" panose="020B0604020202020204" pitchFamily="34" charset="0"/>
              <a:cs typeface="Arial" panose="020B0604020202020204" pitchFamily="34" charset="0"/>
            </a:endParaRPr>
          </a:p>
        </xdr:txBody>
      </xdr:sp>
      <xdr:sp macro="" textlink="Workforce!B26">
        <xdr:nvSpPr>
          <xdr:cNvPr id="108" name="TextBox 66">
            <a:extLst>
              <a:ext uri="{FF2B5EF4-FFF2-40B4-BE49-F238E27FC236}">
                <a16:creationId xmlns:a16="http://schemas.microsoft.com/office/drawing/2014/main" id="{368440E4-BF94-28A1-D1D5-9A184FC73D45}"/>
              </a:ext>
            </a:extLst>
          </xdr:cNvPr>
          <xdr:cNvSpPr txBox="1"/>
        </xdr:nvSpPr>
        <xdr:spPr>
          <a:xfrm>
            <a:off x="4780068" y="4230280"/>
            <a:ext cx="2117367" cy="488887"/>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fld id="{7A780813-C7E2-43D3-B4D1-4FB5A868DBF5}" type="TxLink">
              <a:rPr lang="en-US" sz="1200" b="0" i="0" u="none" strike="noStrike">
                <a:solidFill>
                  <a:srgbClr val="008591"/>
                </a:solidFill>
                <a:latin typeface="Arial" panose="020B0604020202020204" pitchFamily="34" charset="0"/>
                <a:cs typeface="Arial" panose="020B0604020202020204" pitchFamily="34" charset="0"/>
              </a:rPr>
              <a:pPr/>
              <a:t>8% managerial
2,100 posts in a managerial role</a:t>
            </a:fld>
            <a:endParaRPr lang="en-GB" sz="600">
              <a:solidFill>
                <a:srgbClr val="00636E"/>
              </a:solidFill>
              <a:latin typeface="Arial" panose="020B0604020202020204" pitchFamily="34" charset="0"/>
              <a:cs typeface="Arial" panose="020B0604020202020204" pitchFamily="34" charset="0"/>
            </a:endParaRPr>
          </a:p>
        </xdr:txBody>
      </xdr:sp>
      <xdr:sp macro="" textlink="Workforce!B27">
        <xdr:nvSpPr>
          <xdr:cNvPr id="109" name="TextBox 67">
            <a:extLst>
              <a:ext uri="{FF2B5EF4-FFF2-40B4-BE49-F238E27FC236}">
                <a16:creationId xmlns:a16="http://schemas.microsoft.com/office/drawing/2014/main" id="{8CB5550A-B6B4-E87A-DEFD-F297A675F999}"/>
              </a:ext>
            </a:extLst>
          </xdr:cNvPr>
          <xdr:cNvSpPr txBox="1"/>
        </xdr:nvSpPr>
        <xdr:spPr>
          <a:xfrm>
            <a:off x="1947615" y="4917829"/>
            <a:ext cx="2680068" cy="775068"/>
          </a:xfrm>
          <a:prstGeom prst="rect">
            <a:avLst/>
          </a:prstGeom>
          <a:no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fld id="{58593984-112B-4686-8065-B67EE0781CC4}" type="TxLink">
              <a:rPr lang="en-US" sz="1200" b="0" i="0" u="none" strike="noStrike">
                <a:solidFill>
                  <a:srgbClr val="008591"/>
                </a:solidFill>
                <a:latin typeface="Arial" panose="020B0604020202020204" pitchFamily="34" charset="0"/>
                <a:cs typeface="Arial" panose="020B0604020202020204" pitchFamily="34" charset="0"/>
              </a:rPr>
              <a:pPr algn="r"/>
              <a:t>4% regulated professionals
1,100 Registered nurses, Social workers, Occupational therapists</a:t>
            </a:fld>
            <a:endParaRPr lang="en-GB" sz="600">
              <a:solidFill>
                <a:srgbClr val="00636E"/>
              </a:solidFill>
              <a:latin typeface="Arial" panose="020B0604020202020204" pitchFamily="34" charset="0"/>
              <a:cs typeface="Arial" panose="020B0604020202020204" pitchFamily="34" charset="0"/>
            </a:endParaRPr>
          </a:p>
        </xdr:txBody>
      </xdr:sp>
      <xdr:sp macro="" textlink="Workforce!B28">
        <xdr:nvSpPr>
          <xdr:cNvPr id="110" name="TextBox 69">
            <a:extLst>
              <a:ext uri="{FF2B5EF4-FFF2-40B4-BE49-F238E27FC236}">
                <a16:creationId xmlns:a16="http://schemas.microsoft.com/office/drawing/2014/main" id="{BFBC7F4B-C1D9-423F-3E06-D87E34B855CD}"/>
              </a:ext>
            </a:extLst>
          </xdr:cNvPr>
          <xdr:cNvSpPr txBox="1"/>
        </xdr:nvSpPr>
        <xdr:spPr>
          <a:xfrm>
            <a:off x="4792658" y="4917733"/>
            <a:ext cx="2439727" cy="627715"/>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fld id="{6A38B9CE-935C-4FC7-BEC0-9BAB857D5ED9}" type="TxLink">
              <a:rPr lang="en-US" sz="1200" b="0" i="0" u="none" strike="noStrike">
                <a:solidFill>
                  <a:srgbClr val="008591"/>
                </a:solidFill>
                <a:latin typeface="Arial" panose="020B0604020202020204" pitchFamily="34" charset="0"/>
                <a:cs typeface="Arial" panose="020B0604020202020204" pitchFamily="34" charset="0"/>
              </a:rPr>
              <a:pPr/>
              <a:t>20% other roles
4,900 Administrators, HR, Finance and Training roles</a:t>
            </a:fld>
            <a:endParaRPr lang="en-GB" sz="600">
              <a:solidFill>
                <a:srgbClr val="00636E"/>
              </a:solidFill>
              <a:latin typeface="Arial" panose="020B0604020202020204" pitchFamily="34" charset="0"/>
              <a:cs typeface="Arial" panose="020B0604020202020204" pitchFamily="34" charset="0"/>
            </a:endParaRPr>
          </a:p>
        </xdr:txBody>
      </xdr:sp>
      <xdr:cxnSp macro="">
        <xdr:nvCxnSpPr>
          <xdr:cNvPr id="111" name="Straight Connector 110">
            <a:extLst>
              <a:ext uri="{FF2B5EF4-FFF2-40B4-BE49-F238E27FC236}">
                <a16:creationId xmlns:a16="http://schemas.microsoft.com/office/drawing/2014/main" id="{35C2995F-7987-7F39-70B7-F7ACF2C1B2FF}"/>
              </a:ext>
            </a:extLst>
          </xdr:cNvPr>
          <xdr:cNvCxnSpPr>
            <a:cxnSpLocks/>
          </xdr:cNvCxnSpPr>
        </xdr:nvCxnSpPr>
        <xdr:spPr>
          <a:xfrm>
            <a:off x="4668228" y="4255450"/>
            <a:ext cx="68183" cy="1511585"/>
          </a:xfrm>
          <a:prstGeom prst="line">
            <a:avLst/>
          </a:prstGeom>
          <a:ln w="28575">
            <a:solidFill>
              <a:srgbClr val="339EA8"/>
            </a:solidFill>
          </a:ln>
        </xdr:spPr>
        <xdr:style>
          <a:lnRef idx="1">
            <a:schemeClr val="accent1"/>
          </a:lnRef>
          <a:fillRef idx="0">
            <a:schemeClr val="accent1"/>
          </a:fillRef>
          <a:effectRef idx="0">
            <a:schemeClr val="accent1"/>
          </a:effectRef>
          <a:fontRef idx="minor">
            <a:schemeClr val="tx1"/>
          </a:fontRef>
        </xdr:style>
      </xdr:cxnSp>
      <xdr:cxnSp macro="">
        <xdr:nvCxnSpPr>
          <xdr:cNvPr id="112" name="Straight Connector 111">
            <a:extLst>
              <a:ext uri="{FF2B5EF4-FFF2-40B4-BE49-F238E27FC236}">
                <a16:creationId xmlns:a16="http://schemas.microsoft.com/office/drawing/2014/main" id="{FE089953-3C3B-39B1-62F1-9FF8205AB912}"/>
              </a:ext>
            </a:extLst>
          </xdr:cNvPr>
          <xdr:cNvCxnSpPr>
            <a:cxnSpLocks/>
          </xdr:cNvCxnSpPr>
        </xdr:nvCxnSpPr>
        <xdr:spPr>
          <a:xfrm flipH="1" flipV="1">
            <a:off x="2560370" y="4807468"/>
            <a:ext cx="4016577" cy="4708"/>
          </a:xfrm>
          <a:prstGeom prst="line">
            <a:avLst/>
          </a:prstGeom>
          <a:ln w="28575">
            <a:solidFill>
              <a:srgbClr val="339EA8"/>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10</xdr:col>
      <xdr:colOff>211089</xdr:colOff>
      <xdr:row>42</xdr:row>
      <xdr:rowOff>107654</xdr:rowOff>
    </xdr:from>
    <xdr:to>
      <xdr:col>11</xdr:col>
      <xdr:colOff>323364</xdr:colOff>
      <xdr:row>46</xdr:row>
      <xdr:rowOff>115395</xdr:rowOff>
    </xdr:to>
    <xdr:pic>
      <xdr:nvPicPr>
        <xdr:cNvPr id="113" name="Picture 112">
          <a:extLst>
            <a:ext uri="{FF2B5EF4-FFF2-40B4-BE49-F238E27FC236}">
              <a16:creationId xmlns:a16="http://schemas.microsoft.com/office/drawing/2014/main" id="{F053345F-6E07-49F8-AA45-3293D1960637}"/>
            </a:ext>
          </a:extLst>
        </xdr:cNvPr>
        <xdr:cNvPicPr>
          <a:picLocks noChangeAspect="1"/>
        </xdr:cNvPicPr>
      </xdr:nvPicPr>
      <xdr:blipFill>
        <a:blip xmlns:r="http://schemas.openxmlformats.org/officeDocument/2006/relationships" r:embed="rId22" cstate="print">
          <a:biLevel thresh="75000"/>
          <a:extLst>
            <a:ext uri="{28A0092B-C50C-407E-A947-70E740481C1C}">
              <a14:useLocalDpi xmlns:a14="http://schemas.microsoft.com/office/drawing/2010/main" val="0"/>
            </a:ext>
          </a:extLst>
        </a:blip>
        <a:stretch>
          <a:fillRect/>
        </a:stretch>
      </xdr:blipFill>
      <xdr:spPr>
        <a:xfrm>
          <a:off x="6349422" y="7664154"/>
          <a:ext cx="726109" cy="727408"/>
        </a:xfrm>
        <a:prstGeom prst="rect">
          <a:avLst/>
        </a:prstGeom>
      </xdr:spPr>
    </xdr:pic>
    <xdr:clientData/>
  </xdr:twoCellAnchor>
  <xdr:twoCellAnchor editAs="oneCell">
    <xdr:from>
      <xdr:col>12</xdr:col>
      <xdr:colOff>437572</xdr:colOff>
      <xdr:row>42</xdr:row>
      <xdr:rowOff>139692</xdr:rowOff>
    </xdr:from>
    <xdr:to>
      <xdr:col>13</xdr:col>
      <xdr:colOff>532097</xdr:colOff>
      <xdr:row>46</xdr:row>
      <xdr:rowOff>132617</xdr:rowOff>
    </xdr:to>
    <xdr:pic>
      <xdr:nvPicPr>
        <xdr:cNvPr id="114" name="Picture 113">
          <a:extLst>
            <a:ext uri="{FF2B5EF4-FFF2-40B4-BE49-F238E27FC236}">
              <a16:creationId xmlns:a16="http://schemas.microsoft.com/office/drawing/2014/main" id="{63D1FCAC-9000-4D1A-AADB-BBB80DD63AB3}"/>
            </a:ext>
          </a:extLst>
        </xdr:cNvPr>
        <xdr:cNvPicPr>
          <a:picLocks noChangeAspect="1"/>
        </xdr:cNvPicPr>
      </xdr:nvPicPr>
      <xdr:blipFill>
        <a:blip xmlns:r="http://schemas.openxmlformats.org/officeDocument/2006/relationships" r:embed="rId23" cstate="print">
          <a:biLevel thresh="75000"/>
          <a:extLst>
            <a:ext uri="{28A0092B-C50C-407E-A947-70E740481C1C}">
              <a14:useLocalDpi xmlns:a14="http://schemas.microsoft.com/office/drawing/2010/main" val="0"/>
            </a:ext>
          </a:extLst>
        </a:blip>
        <a:stretch>
          <a:fillRect/>
        </a:stretch>
      </xdr:blipFill>
      <xdr:spPr>
        <a:xfrm>
          <a:off x="7711208" y="8019465"/>
          <a:ext cx="700662" cy="743379"/>
        </a:xfrm>
        <a:prstGeom prst="rect">
          <a:avLst/>
        </a:prstGeom>
      </xdr:spPr>
    </xdr:pic>
    <xdr:clientData/>
  </xdr:twoCellAnchor>
  <xdr:twoCellAnchor editAs="oneCell">
    <xdr:from>
      <xdr:col>15</xdr:col>
      <xdr:colOff>21936</xdr:colOff>
      <xdr:row>42</xdr:row>
      <xdr:rowOff>117179</xdr:rowOff>
    </xdr:from>
    <xdr:to>
      <xdr:col>16</xdr:col>
      <xdr:colOff>112997</xdr:colOff>
      <xdr:row>46</xdr:row>
      <xdr:rowOff>116455</xdr:rowOff>
    </xdr:to>
    <xdr:pic>
      <xdr:nvPicPr>
        <xdr:cNvPr id="115" name="Picture 114">
          <a:extLst>
            <a:ext uri="{FF2B5EF4-FFF2-40B4-BE49-F238E27FC236}">
              <a16:creationId xmlns:a16="http://schemas.microsoft.com/office/drawing/2014/main" id="{26CA4B15-4659-439A-A2A0-3DB9A2C25592}"/>
            </a:ext>
          </a:extLst>
        </xdr:cNvPr>
        <xdr:cNvPicPr>
          <a:picLocks noChangeAspect="1"/>
        </xdr:cNvPicPr>
      </xdr:nvPicPr>
      <xdr:blipFill>
        <a:blip xmlns:r="http://schemas.openxmlformats.org/officeDocument/2006/relationships" r:embed="rId24" cstate="print">
          <a:biLevel thresh="75000"/>
          <a:extLst>
            <a:ext uri="{28A0092B-C50C-407E-A947-70E740481C1C}">
              <a14:useLocalDpi xmlns:a14="http://schemas.microsoft.com/office/drawing/2010/main" val="0"/>
            </a:ext>
          </a:extLst>
        </a:blip>
        <a:stretch>
          <a:fillRect/>
        </a:stretch>
      </xdr:blipFill>
      <xdr:spPr>
        <a:xfrm>
          <a:off x="9113981" y="7996952"/>
          <a:ext cx="697198" cy="749730"/>
        </a:xfrm>
        <a:prstGeom prst="rect">
          <a:avLst/>
        </a:prstGeom>
      </xdr:spPr>
    </xdr:pic>
    <xdr:clientData/>
  </xdr:twoCellAnchor>
  <xdr:twoCellAnchor>
    <xdr:from>
      <xdr:col>11</xdr:col>
      <xdr:colOff>23700</xdr:colOff>
      <xdr:row>58</xdr:row>
      <xdr:rowOff>141143</xdr:rowOff>
    </xdr:from>
    <xdr:to>
      <xdr:col>13</xdr:col>
      <xdr:colOff>43874</xdr:colOff>
      <xdr:row>60</xdr:row>
      <xdr:rowOff>127031</xdr:rowOff>
    </xdr:to>
    <xdr:sp macro="" textlink="Outcomes!C16">
      <xdr:nvSpPr>
        <xdr:cNvPr id="116" name="TextBox 12">
          <a:extLst>
            <a:ext uri="{FF2B5EF4-FFF2-40B4-BE49-F238E27FC236}">
              <a16:creationId xmlns:a16="http://schemas.microsoft.com/office/drawing/2014/main" id="{C7079205-5CC7-413A-BF1C-E688A23E9EC8}"/>
            </a:ext>
          </a:extLst>
        </xdr:cNvPr>
        <xdr:cNvSpPr txBox="1"/>
      </xdr:nvSpPr>
      <xdr:spPr>
        <a:xfrm>
          <a:off x="6691200" y="11022734"/>
          <a:ext cx="1232447" cy="361115"/>
        </a:xfrm>
        <a:prstGeom prst="rect">
          <a:avLst/>
        </a:prstGeom>
        <a:solidFill>
          <a:schemeClr val="bg1"/>
        </a:solid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26DF373E-6559-4846-AF02-007224ED75CF}" type="TxLink">
            <a:rPr lang="en-US" sz="2800" b="1" i="0" u="none" strike="noStrike">
              <a:solidFill>
                <a:sysClr val="windowText" lastClr="000000"/>
              </a:solidFill>
              <a:latin typeface="Arial" panose="020B0604020202020204" pitchFamily="34" charset="0"/>
              <a:cs typeface="Arial" panose="020B0604020202020204" pitchFamily="34" charset="0"/>
            </a:rPr>
            <a:pPr algn="ctr"/>
            <a:t>19.1</a:t>
          </a:fld>
          <a:endParaRPr lang="en-GB" sz="28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11</xdr:col>
      <xdr:colOff>13886</xdr:colOff>
      <xdr:row>57</xdr:row>
      <xdr:rowOff>79378</xdr:rowOff>
    </xdr:from>
    <xdr:to>
      <xdr:col>13</xdr:col>
      <xdr:colOff>72931</xdr:colOff>
      <xdr:row>63</xdr:row>
      <xdr:rowOff>9669</xdr:rowOff>
    </xdr:to>
    <xdr:sp macro="" textlink="">
      <xdr:nvSpPr>
        <xdr:cNvPr id="117" name="Rectangle: Diagonal Corners Rounded 41">
          <a:extLst>
            <a:ext uri="{FF2B5EF4-FFF2-40B4-BE49-F238E27FC236}">
              <a16:creationId xmlns:a16="http://schemas.microsoft.com/office/drawing/2014/main" id="{3B88A3AC-2556-4C94-8960-1001C1D1C720}"/>
            </a:ext>
          </a:extLst>
        </xdr:cNvPr>
        <xdr:cNvSpPr/>
      </xdr:nvSpPr>
      <xdr:spPr>
        <a:xfrm>
          <a:off x="6681386" y="10773355"/>
          <a:ext cx="1271318" cy="1055973"/>
        </a:xfrm>
        <a:prstGeom prst="round2DiagRect">
          <a:avLst/>
        </a:prstGeom>
        <a:noFill/>
        <a:ln w="38100">
          <a:solidFill>
            <a:srgbClr val="FF7A2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11</xdr:col>
      <xdr:colOff>296719</xdr:colOff>
      <xdr:row>54</xdr:row>
      <xdr:rowOff>64655</xdr:rowOff>
    </xdr:from>
    <xdr:to>
      <xdr:col>18</xdr:col>
      <xdr:colOff>163369</xdr:colOff>
      <xdr:row>55</xdr:row>
      <xdr:rowOff>157019</xdr:rowOff>
    </xdr:to>
    <xdr:sp macro="" textlink="">
      <xdr:nvSpPr>
        <xdr:cNvPr id="118" name="TextBox 117">
          <a:extLst>
            <a:ext uri="{FF2B5EF4-FFF2-40B4-BE49-F238E27FC236}">
              <a16:creationId xmlns:a16="http://schemas.microsoft.com/office/drawing/2014/main" id="{E06D9548-A70E-48C6-B2B8-B4AAA26E4BCC}"/>
            </a:ext>
          </a:extLst>
        </xdr:cNvPr>
        <xdr:cNvSpPr txBox="1"/>
      </xdr:nvSpPr>
      <xdr:spPr>
        <a:xfrm>
          <a:off x="6964219" y="10195791"/>
          <a:ext cx="4109605" cy="2799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b="1" i="0" u="sng">
              <a:solidFill>
                <a:srgbClr val="6E0036"/>
              </a:solidFill>
              <a:latin typeface="Arial" panose="020B0604020202020204" pitchFamily="34" charset="0"/>
              <a:cs typeface="Arial" panose="020B0604020202020204" pitchFamily="34" charset="0"/>
            </a:rPr>
            <a:t>Average social care-related quality of life score</a:t>
          </a:r>
        </a:p>
      </xdr:txBody>
    </xdr:sp>
    <xdr:clientData/>
  </xdr:twoCellAnchor>
  <xdr:twoCellAnchor>
    <xdr:from>
      <xdr:col>10</xdr:col>
      <xdr:colOff>336550</xdr:colOff>
      <xdr:row>55</xdr:row>
      <xdr:rowOff>122095</xdr:rowOff>
    </xdr:from>
    <xdr:to>
      <xdr:col>13</xdr:col>
      <xdr:colOff>447675</xdr:colOff>
      <xdr:row>57</xdr:row>
      <xdr:rowOff>36370</xdr:rowOff>
    </xdr:to>
    <xdr:sp macro="" textlink="Outcomes!B15">
      <xdr:nvSpPr>
        <xdr:cNvPr id="119" name="TextBox 118">
          <a:extLst>
            <a:ext uri="{FF2B5EF4-FFF2-40B4-BE49-F238E27FC236}">
              <a16:creationId xmlns:a16="http://schemas.microsoft.com/office/drawing/2014/main" id="{F37E3C8E-9322-43AF-89C7-7E8BF6F78268}"/>
            </a:ext>
          </a:extLst>
        </xdr:cNvPr>
        <xdr:cNvSpPr txBox="1"/>
      </xdr:nvSpPr>
      <xdr:spPr>
        <a:xfrm>
          <a:off x="6397914" y="10440845"/>
          <a:ext cx="1929534" cy="2895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2DF37B5-7312-4579-B461-2F520FC4E4FC}" type="TxLink">
            <a:rPr lang="en-US" sz="1100" b="1" i="0" u="none" strike="noStrike">
              <a:solidFill>
                <a:srgbClr val="6E0036"/>
              </a:solidFill>
              <a:latin typeface="Arial" panose="020B0604020202020204" pitchFamily="34" charset="0"/>
              <a:cs typeface="Arial" panose="020B0604020202020204" pitchFamily="34" charset="0"/>
            </a:rPr>
            <a:pPr algn="ctr"/>
            <a:t>All adults in Norfolk</a:t>
          </a:fld>
          <a:endParaRPr lang="en-GB" sz="1100" b="1" i="0" u="none">
            <a:solidFill>
              <a:srgbClr val="6E0036"/>
            </a:solidFill>
            <a:latin typeface="Arial" panose="020B0604020202020204" pitchFamily="34" charset="0"/>
            <a:cs typeface="Arial" panose="020B0604020202020204" pitchFamily="34" charset="0"/>
          </a:endParaRPr>
        </a:p>
      </xdr:txBody>
    </xdr:sp>
    <xdr:clientData/>
  </xdr:twoCellAnchor>
  <xdr:twoCellAnchor>
    <xdr:from>
      <xdr:col>14</xdr:col>
      <xdr:colOff>41277</xdr:colOff>
      <xdr:row>58</xdr:row>
      <xdr:rowOff>103044</xdr:rowOff>
    </xdr:from>
    <xdr:to>
      <xdr:col>15</xdr:col>
      <xdr:colOff>22227</xdr:colOff>
      <xdr:row>61</xdr:row>
      <xdr:rowOff>44644</xdr:rowOff>
    </xdr:to>
    <xdr:pic>
      <xdr:nvPicPr>
        <xdr:cNvPr id="120" name="Picture 37" descr="A black background with a black square">
          <a:extLst>
            <a:ext uri="{FF2B5EF4-FFF2-40B4-BE49-F238E27FC236}">
              <a16:creationId xmlns:a16="http://schemas.microsoft.com/office/drawing/2014/main" id="{8CB6E178-2ECB-4E11-9FCD-98CEA7E8D1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7186" y="10984635"/>
          <a:ext cx="587086" cy="504441"/>
        </a:xfrm>
        <a:prstGeom prst="rect">
          <a:avLst/>
        </a:prstGeom>
      </xdr:spPr>
    </xdr:pic>
    <xdr:clientData/>
  </xdr:twoCellAnchor>
  <xdr:twoCellAnchor>
    <xdr:from>
      <xdr:col>16</xdr:col>
      <xdr:colOff>542926</xdr:colOff>
      <xdr:row>58</xdr:row>
      <xdr:rowOff>102141</xdr:rowOff>
    </xdr:from>
    <xdr:to>
      <xdr:col>17</xdr:col>
      <xdr:colOff>533401</xdr:colOff>
      <xdr:row>61</xdr:row>
      <xdr:rowOff>44486</xdr:rowOff>
    </xdr:to>
    <xdr:pic>
      <xdr:nvPicPr>
        <xdr:cNvPr id="121" name="Picture 38">
          <a:extLst>
            <a:ext uri="{FF2B5EF4-FFF2-40B4-BE49-F238E27FC236}">
              <a16:creationId xmlns:a16="http://schemas.microsoft.com/office/drawing/2014/main" id="{1E725962-B897-4A1E-A2A0-DA676B005D94}"/>
            </a:ext>
          </a:extLst>
        </xdr:cNvPr>
        <xdr:cNvPicPr>
          <a:picLocks noChangeAspect="1"/>
        </xdr:cNvPicPr>
      </xdr:nvPicPr>
      <xdr:blipFill>
        <a:blip xmlns:r="http://schemas.openxmlformats.org/officeDocument/2006/relationships" r:embed="rId25" cstate="print">
          <a:biLevel thresh="75000"/>
          <a:extLst>
            <a:ext uri="{28A0092B-C50C-407E-A947-70E740481C1C}">
              <a14:useLocalDpi xmlns:a14="http://schemas.microsoft.com/office/drawing/2010/main" val="0"/>
            </a:ext>
          </a:extLst>
        </a:blip>
        <a:stretch>
          <a:fillRect/>
        </a:stretch>
      </xdr:blipFill>
      <xdr:spPr>
        <a:xfrm>
          <a:off x="10241108" y="10983732"/>
          <a:ext cx="596611" cy="505186"/>
        </a:xfrm>
        <a:prstGeom prst="rect">
          <a:avLst/>
        </a:prstGeom>
      </xdr:spPr>
    </xdr:pic>
    <xdr:clientData/>
  </xdr:twoCellAnchor>
  <xdr:twoCellAnchor>
    <xdr:from>
      <xdr:col>14</xdr:col>
      <xdr:colOff>469901</xdr:colOff>
      <xdr:row>56</xdr:row>
      <xdr:rowOff>122094</xdr:rowOff>
    </xdr:from>
    <xdr:to>
      <xdr:col>15</xdr:col>
      <xdr:colOff>574675</xdr:colOff>
      <xdr:row>58</xdr:row>
      <xdr:rowOff>17319</xdr:rowOff>
    </xdr:to>
    <xdr:sp macro="" textlink="">
      <xdr:nvSpPr>
        <xdr:cNvPr id="122" name="TextBox 121">
          <a:extLst>
            <a:ext uri="{FF2B5EF4-FFF2-40B4-BE49-F238E27FC236}">
              <a16:creationId xmlns:a16="http://schemas.microsoft.com/office/drawing/2014/main" id="{B4451714-711B-4664-ACD8-8183C9C2302F}"/>
            </a:ext>
          </a:extLst>
        </xdr:cNvPr>
        <xdr:cNvSpPr txBox="1"/>
      </xdr:nvSpPr>
      <xdr:spPr>
        <a:xfrm>
          <a:off x="8955810" y="10628458"/>
          <a:ext cx="710910" cy="2704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i="0" u="none" strike="noStrike">
              <a:solidFill>
                <a:srgbClr val="6E0036"/>
              </a:solidFill>
              <a:latin typeface="Arial" panose="020B0604020202020204" pitchFamily="34" charset="0"/>
              <a:cs typeface="Arial" panose="020B0604020202020204" pitchFamily="34" charset="0"/>
            </a:rPr>
            <a:t>18 to</a:t>
          </a:r>
          <a:r>
            <a:rPr lang="en-US" sz="1100" b="1" i="0" u="none" strike="noStrike" baseline="0">
              <a:solidFill>
                <a:srgbClr val="6E0036"/>
              </a:solidFill>
              <a:latin typeface="Arial" panose="020B0604020202020204" pitchFamily="34" charset="0"/>
              <a:cs typeface="Arial" panose="020B0604020202020204" pitchFamily="34" charset="0"/>
            </a:rPr>
            <a:t> 64</a:t>
          </a:r>
          <a:endParaRPr lang="en-US" sz="1100" b="1" i="0" u="none" strike="noStrike">
            <a:solidFill>
              <a:srgbClr val="6E0036"/>
            </a:solidFill>
            <a:latin typeface="Arial" panose="020B0604020202020204" pitchFamily="34" charset="0"/>
            <a:cs typeface="Arial" panose="020B0604020202020204" pitchFamily="34" charset="0"/>
          </a:endParaRPr>
        </a:p>
      </xdr:txBody>
    </xdr:sp>
    <xdr:clientData/>
  </xdr:twoCellAnchor>
  <xdr:twoCellAnchor>
    <xdr:from>
      <xdr:col>17</xdr:col>
      <xdr:colOff>365126</xdr:colOff>
      <xdr:row>56</xdr:row>
      <xdr:rowOff>103044</xdr:rowOff>
    </xdr:from>
    <xdr:to>
      <xdr:col>18</xdr:col>
      <xdr:colOff>466725</xdr:colOff>
      <xdr:row>57</xdr:row>
      <xdr:rowOff>179533</xdr:rowOff>
    </xdr:to>
    <xdr:sp macro="" textlink="">
      <xdr:nvSpPr>
        <xdr:cNvPr id="123" name="TextBox 122">
          <a:extLst>
            <a:ext uri="{FF2B5EF4-FFF2-40B4-BE49-F238E27FC236}">
              <a16:creationId xmlns:a16="http://schemas.microsoft.com/office/drawing/2014/main" id="{2B20DB00-6CB2-46DA-911E-B7EF0432DFC2}"/>
            </a:ext>
          </a:extLst>
        </xdr:cNvPr>
        <xdr:cNvSpPr txBox="1"/>
      </xdr:nvSpPr>
      <xdr:spPr>
        <a:xfrm>
          <a:off x="10669444" y="10609408"/>
          <a:ext cx="707736" cy="2641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i="0" u="none" strike="noStrike">
              <a:solidFill>
                <a:srgbClr val="6E0036"/>
              </a:solidFill>
              <a:latin typeface="Arial" panose="020B0604020202020204" pitchFamily="34" charset="0"/>
              <a:cs typeface="Arial" panose="020B0604020202020204" pitchFamily="34" charset="0"/>
            </a:rPr>
            <a:t>65+</a:t>
          </a:r>
        </a:p>
      </xdr:txBody>
    </xdr:sp>
    <xdr:clientData/>
  </xdr:twoCellAnchor>
  <xdr:twoCellAnchor>
    <xdr:from>
      <xdr:col>15</xdr:col>
      <xdr:colOff>34926</xdr:colOff>
      <xdr:row>59</xdr:row>
      <xdr:rowOff>17318</xdr:rowOff>
    </xdr:from>
    <xdr:to>
      <xdr:col>16</xdr:col>
      <xdr:colOff>370899</xdr:colOff>
      <xdr:row>61</xdr:row>
      <xdr:rowOff>25430</xdr:rowOff>
    </xdr:to>
    <xdr:sp macro="" textlink="Outcomes!C17">
      <xdr:nvSpPr>
        <xdr:cNvPr id="124" name="TextBox 12">
          <a:extLst>
            <a:ext uri="{FF2B5EF4-FFF2-40B4-BE49-F238E27FC236}">
              <a16:creationId xmlns:a16="http://schemas.microsoft.com/office/drawing/2014/main" id="{0F56CAC5-C562-4304-BA49-7C6701B2661A}"/>
            </a:ext>
          </a:extLst>
        </xdr:cNvPr>
        <xdr:cNvSpPr txBox="1"/>
      </xdr:nvSpPr>
      <xdr:spPr>
        <a:xfrm>
          <a:off x="9126971" y="11086523"/>
          <a:ext cx="942110" cy="383339"/>
        </a:xfrm>
        <a:prstGeom prst="rect">
          <a:avLst/>
        </a:prstGeom>
        <a:solidFill>
          <a:schemeClr val="bg1"/>
        </a:solid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89595A8C-0809-476E-BA64-E6D92366D977}" type="TxLink">
            <a:rPr lang="en-US" sz="2800" b="1" i="0" u="none" strike="noStrike">
              <a:solidFill>
                <a:srgbClr val="000000"/>
              </a:solidFill>
              <a:latin typeface="Arial" panose="020B0604020202020204" pitchFamily="34" charset="0"/>
              <a:cs typeface="Arial" panose="020B0604020202020204" pitchFamily="34" charset="0"/>
            </a:rPr>
            <a:pPr algn="ctr"/>
            <a:t>18.8</a:t>
          </a:fld>
          <a:endParaRPr lang="en-GB" sz="28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18</xdr:col>
      <xdr:colOff>31751</xdr:colOff>
      <xdr:row>58</xdr:row>
      <xdr:rowOff>179243</xdr:rowOff>
    </xdr:from>
    <xdr:to>
      <xdr:col>19</xdr:col>
      <xdr:colOff>364549</xdr:colOff>
      <xdr:row>61</xdr:row>
      <xdr:rowOff>6092</xdr:rowOff>
    </xdr:to>
    <xdr:sp macro="" textlink="Outcomes!C18">
      <xdr:nvSpPr>
        <xdr:cNvPr id="125" name="TextBox 12">
          <a:extLst>
            <a:ext uri="{FF2B5EF4-FFF2-40B4-BE49-F238E27FC236}">
              <a16:creationId xmlns:a16="http://schemas.microsoft.com/office/drawing/2014/main" id="{1B4CC4A7-2143-43FE-A41D-130275FA658E}"/>
            </a:ext>
          </a:extLst>
        </xdr:cNvPr>
        <xdr:cNvSpPr txBox="1"/>
      </xdr:nvSpPr>
      <xdr:spPr>
        <a:xfrm>
          <a:off x="10942206" y="11060834"/>
          <a:ext cx="938934" cy="389690"/>
        </a:xfrm>
        <a:prstGeom prst="rect">
          <a:avLst/>
        </a:prstGeom>
        <a:solidFill>
          <a:schemeClr val="bg1"/>
        </a:solid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BFABB652-527C-4593-B3AA-2D53F9121169}" type="TxLink">
            <a:rPr lang="en-US" sz="2800" b="1" i="0" u="none" strike="noStrike">
              <a:solidFill>
                <a:srgbClr val="000000"/>
              </a:solidFill>
              <a:latin typeface="Arial" panose="020B0604020202020204" pitchFamily="34" charset="0"/>
              <a:cs typeface="Arial" panose="020B0604020202020204" pitchFamily="34" charset="0"/>
            </a:rPr>
            <a:pPr algn="ctr"/>
            <a:t>19.2</a:t>
          </a:fld>
          <a:endParaRPr lang="en-GB" sz="28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16</xdr:col>
      <xdr:colOff>381001</xdr:colOff>
      <xdr:row>57</xdr:row>
      <xdr:rowOff>64945</xdr:rowOff>
    </xdr:from>
    <xdr:to>
      <xdr:col>16</xdr:col>
      <xdr:colOff>381001</xdr:colOff>
      <xdr:row>62</xdr:row>
      <xdr:rowOff>83995</xdr:rowOff>
    </xdr:to>
    <xdr:cxnSp macro="">
      <xdr:nvCxnSpPr>
        <xdr:cNvPr id="126" name="Straight Connector 125">
          <a:extLst>
            <a:ext uri="{FF2B5EF4-FFF2-40B4-BE49-F238E27FC236}">
              <a16:creationId xmlns:a16="http://schemas.microsoft.com/office/drawing/2014/main" id="{5B3B591F-08D9-4C7C-9321-D18B432C0B36}"/>
            </a:ext>
          </a:extLst>
        </xdr:cNvPr>
        <xdr:cNvCxnSpPr/>
      </xdr:nvCxnSpPr>
      <xdr:spPr>
        <a:xfrm>
          <a:off x="10079183" y="10758922"/>
          <a:ext cx="0" cy="957118"/>
        </a:xfrm>
        <a:prstGeom prst="line">
          <a:avLst/>
        </a:prstGeom>
      </xdr:spPr>
      <xdr:style>
        <a:lnRef idx="2">
          <a:schemeClr val="accent2"/>
        </a:lnRef>
        <a:fillRef idx="0">
          <a:schemeClr val="accent2"/>
        </a:fillRef>
        <a:effectRef idx="1">
          <a:schemeClr val="accent2"/>
        </a:effectRef>
        <a:fontRef idx="minor">
          <a:schemeClr val="tx1"/>
        </a:fontRef>
      </xdr:style>
    </xdr:cxnSp>
    <xdr:clientData/>
  </xdr:twoCellAnchor>
  <xdr:twoCellAnchor>
    <xdr:from>
      <xdr:col>10</xdr:col>
      <xdr:colOff>144319</xdr:colOff>
      <xdr:row>51</xdr:row>
      <xdr:rowOff>170006</xdr:rowOff>
    </xdr:from>
    <xdr:to>
      <xdr:col>19</xdr:col>
      <xdr:colOff>391969</xdr:colOff>
      <xdr:row>54</xdr:row>
      <xdr:rowOff>58881</xdr:rowOff>
    </xdr:to>
    <xdr:sp macro="" textlink="">
      <xdr:nvSpPr>
        <xdr:cNvPr id="127" name="Rectangle: Rounded Corners 54">
          <a:extLst>
            <a:ext uri="{FF2B5EF4-FFF2-40B4-BE49-F238E27FC236}">
              <a16:creationId xmlns:a16="http://schemas.microsoft.com/office/drawing/2014/main" id="{27A248D8-4751-4851-9CE2-3213000E7F07}"/>
            </a:ext>
          </a:extLst>
        </xdr:cNvPr>
        <xdr:cNvSpPr/>
      </xdr:nvSpPr>
      <xdr:spPr>
        <a:xfrm>
          <a:off x="6205683" y="9738301"/>
          <a:ext cx="5702877" cy="451716"/>
        </a:xfrm>
        <a:prstGeom prst="roundRect">
          <a:avLst/>
        </a:prstGeom>
        <a:solidFill>
          <a:srgbClr val="6E003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ctr"/>
          <a:r>
            <a:rPr lang="en-US" sz="2400" b="0" i="0" u="none" strike="noStrike">
              <a:solidFill>
                <a:schemeClr val="bg1"/>
              </a:solidFill>
              <a:latin typeface="Arial" panose="020B0604020202020204" pitchFamily="34" charset="0"/>
              <a:cs typeface="Arial" panose="020B0604020202020204" pitchFamily="34" charset="0"/>
            </a:rPr>
            <a:t>Adults receiving social</a:t>
          </a:r>
          <a:r>
            <a:rPr lang="en-US" sz="2400" b="0" i="0" u="none" strike="noStrike" baseline="0">
              <a:solidFill>
                <a:schemeClr val="bg1"/>
              </a:solidFill>
              <a:latin typeface="Arial" panose="020B0604020202020204" pitchFamily="34" charset="0"/>
              <a:cs typeface="Arial" panose="020B0604020202020204" pitchFamily="34" charset="0"/>
            </a:rPr>
            <a:t> care</a:t>
          </a:r>
          <a:endParaRPr lang="en-US" sz="2400" b="0" i="0" u="none" strike="noStrike">
            <a:solidFill>
              <a:schemeClr val="bg1"/>
            </a:solidFill>
            <a:latin typeface="Arial" panose="020B0604020202020204" pitchFamily="34" charset="0"/>
            <a:cs typeface="Arial" panose="020B0604020202020204" pitchFamily="34" charset="0"/>
          </a:endParaRPr>
        </a:p>
      </xdr:txBody>
    </xdr:sp>
    <xdr:clientData/>
  </xdr:twoCellAnchor>
  <xdr:oneCellAnchor>
    <xdr:from>
      <xdr:col>15</xdr:col>
      <xdr:colOff>371693</xdr:colOff>
      <xdr:row>65</xdr:row>
      <xdr:rowOff>36945</xdr:rowOff>
    </xdr:from>
    <xdr:ext cx="1844095" cy="1521692"/>
    <xdr:sp macro="" textlink="Outcomes!B20">
      <xdr:nvSpPr>
        <xdr:cNvPr id="15" name="TextBox 576">
          <a:extLst>
            <a:ext uri="{FF2B5EF4-FFF2-40B4-BE49-F238E27FC236}">
              <a16:creationId xmlns:a16="http://schemas.microsoft.com/office/drawing/2014/main" id="{74CD6E24-4EE6-441C-BEA5-DC0D4A779A8D}"/>
            </a:ext>
          </a:extLst>
        </xdr:cNvPr>
        <xdr:cNvSpPr txBox="1"/>
      </xdr:nvSpPr>
      <xdr:spPr>
        <a:xfrm>
          <a:off x="9463738" y="12231831"/>
          <a:ext cx="1844095" cy="1521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fld id="{1CBB9BC3-E938-4C6F-83B2-392AAFF345FC}" type="TxLink">
            <a:rPr lang="en-US" sz="1400" b="0" i="0" u="none" strike="noStrike">
              <a:solidFill>
                <a:schemeClr val="bg1"/>
              </a:solidFill>
              <a:latin typeface="Arial" panose="020B0604020202020204" pitchFamily="34" charset="0"/>
              <a:cs typeface="Arial" panose="020B0604020202020204" pitchFamily="34" charset="0"/>
            </a:rPr>
            <a:pPr algn="ctr"/>
            <a:t>In Norfolk, 77.4% of people feel they have control over their daily life</a:t>
          </a:fld>
          <a:endParaRPr lang="en-GB" sz="700">
            <a:solidFill>
              <a:schemeClr val="bg1"/>
            </a:solidFill>
            <a:latin typeface="Arial" panose="020B0604020202020204" pitchFamily="34" charset="0"/>
            <a:cs typeface="Arial" panose="020B0604020202020204" pitchFamily="34" charset="0"/>
          </a:endParaRPr>
        </a:p>
      </xdr:txBody>
    </xdr:sp>
    <xdr:clientData/>
  </xdr:oneCellAnchor>
  <xdr:twoCellAnchor>
    <xdr:from>
      <xdr:col>10</xdr:col>
      <xdr:colOff>432953</xdr:colOff>
      <xdr:row>63</xdr:row>
      <xdr:rowOff>170008</xdr:rowOff>
    </xdr:from>
    <xdr:to>
      <xdr:col>14</xdr:col>
      <xdr:colOff>83415</xdr:colOff>
      <xdr:row>74</xdr:row>
      <xdr:rowOff>104199</xdr:rowOff>
    </xdr:to>
    <xdr:sp macro="" textlink="">
      <xdr:nvSpPr>
        <xdr:cNvPr id="578" name="Oval 4">
          <a:extLst>
            <a:ext uri="{FF2B5EF4-FFF2-40B4-BE49-F238E27FC236}">
              <a16:creationId xmlns:a16="http://schemas.microsoft.com/office/drawing/2014/main" id="{8E1AD1C8-8AA7-42F7-9A50-C5472900329C}"/>
            </a:ext>
          </a:extLst>
        </xdr:cNvPr>
        <xdr:cNvSpPr/>
      </xdr:nvSpPr>
      <xdr:spPr>
        <a:xfrm>
          <a:off x="6494317" y="11989667"/>
          <a:ext cx="2075007" cy="1997941"/>
        </a:xfrm>
        <a:prstGeom prst="ellipse">
          <a:avLst/>
        </a:prstGeom>
        <a:solidFill>
          <a:srgbClr val="339EA8"/>
        </a:solidFill>
        <a:ln>
          <a:solidFill>
            <a:srgbClr val="2E2659"/>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sz="1000">
            <a:highlight>
              <a:srgbClr val="FFFF00"/>
            </a:highlight>
            <a:latin typeface="Arial" panose="020B0604020202020204" pitchFamily="34" charset="0"/>
            <a:cs typeface="Arial" panose="020B0604020202020204" pitchFamily="34" charset="0"/>
          </a:endParaRPr>
        </a:p>
      </xdr:txBody>
    </xdr:sp>
    <xdr:clientData/>
  </xdr:twoCellAnchor>
  <xdr:oneCellAnchor>
    <xdr:from>
      <xdr:col>11</xdr:col>
      <xdr:colOff>46111</xdr:colOff>
      <xdr:row>65</xdr:row>
      <xdr:rowOff>28864</xdr:rowOff>
    </xdr:from>
    <xdr:ext cx="1642051" cy="1515341"/>
    <xdr:sp macro="" textlink="Outcomes!B26">
      <xdr:nvSpPr>
        <xdr:cNvPr id="579" name="TextBox 578">
          <a:extLst>
            <a:ext uri="{FF2B5EF4-FFF2-40B4-BE49-F238E27FC236}">
              <a16:creationId xmlns:a16="http://schemas.microsoft.com/office/drawing/2014/main" id="{EB15DD48-1719-42E3-9B86-FC37DCD16262}"/>
            </a:ext>
          </a:extLst>
        </xdr:cNvPr>
        <xdr:cNvSpPr txBox="1"/>
      </xdr:nvSpPr>
      <xdr:spPr>
        <a:xfrm>
          <a:off x="6713611" y="12223750"/>
          <a:ext cx="1642051" cy="1515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fld id="{CE2E6F04-8BAB-43CF-B362-CA71355E4CAE}" type="TxLink">
            <a:rPr lang="en-US" sz="1400" b="0" i="0" u="none" strike="noStrike">
              <a:solidFill>
                <a:schemeClr val="bg1"/>
              </a:solidFill>
              <a:latin typeface="Arial" panose="020B0604020202020204" pitchFamily="34" charset="0"/>
              <a:cs typeface="Arial" panose="020B0604020202020204" pitchFamily="34" charset="0"/>
            </a:rPr>
            <a:pPr algn="ctr"/>
            <a:t>Amongst all adults using services in Norfolk, 68.8% feel safe</a:t>
          </a:fld>
          <a:endParaRPr lang="en-GB" sz="1400">
            <a:solidFill>
              <a:schemeClr val="bg1"/>
            </a:solidFill>
            <a:latin typeface="Arial" panose="020B0604020202020204" pitchFamily="34" charset="0"/>
            <a:cs typeface="Arial" panose="020B0604020202020204" pitchFamily="34" charset="0"/>
          </a:endParaRPr>
        </a:p>
      </xdr:txBody>
    </xdr:sp>
    <xdr:clientData/>
  </xdr:oneCellAnchor>
  <xdr:twoCellAnchor>
    <xdr:from>
      <xdr:col>11</xdr:col>
      <xdr:colOff>115455</xdr:colOff>
      <xdr:row>61</xdr:row>
      <xdr:rowOff>28864</xdr:rowOff>
    </xdr:from>
    <xdr:to>
      <xdr:col>12</xdr:col>
      <xdr:colOff>600941</xdr:colOff>
      <xdr:row>61</xdr:row>
      <xdr:rowOff>172027</xdr:rowOff>
    </xdr:to>
    <xdr:sp macro="" textlink="">
      <xdr:nvSpPr>
        <xdr:cNvPr id="581" name="TextBox 580">
          <a:extLst>
            <a:ext uri="{FF2B5EF4-FFF2-40B4-BE49-F238E27FC236}">
              <a16:creationId xmlns:a16="http://schemas.microsoft.com/office/drawing/2014/main" id="{C0DC21EA-3C53-4753-AFAA-C0BB871DEAE3}"/>
            </a:ext>
          </a:extLst>
        </xdr:cNvPr>
        <xdr:cNvSpPr txBox="1"/>
      </xdr:nvSpPr>
      <xdr:spPr>
        <a:xfrm>
          <a:off x="6782955" y="11473296"/>
          <a:ext cx="1091622" cy="1431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latin typeface="Arial" panose="020B0604020202020204" pitchFamily="34" charset="0"/>
              <a:cs typeface="Arial" panose="020B0604020202020204" pitchFamily="34" charset="0"/>
            </a:rPr>
            <a:t>out of 24</a:t>
          </a:r>
        </a:p>
      </xdr:txBody>
    </xdr:sp>
    <xdr:clientData/>
  </xdr:twoCellAnchor>
  <xdr:twoCellAnchor>
    <xdr:from>
      <xdr:col>14</xdr:col>
      <xdr:colOff>331932</xdr:colOff>
      <xdr:row>61</xdr:row>
      <xdr:rowOff>129886</xdr:rowOff>
    </xdr:from>
    <xdr:to>
      <xdr:col>16</xdr:col>
      <xdr:colOff>211281</xdr:colOff>
      <xdr:row>62</xdr:row>
      <xdr:rowOff>85436</xdr:rowOff>
    </xdr:to>
    <xdr:sp macro="" textlink="">
      <xdr:nvSpPr>
        <xdr:cNvPr id="583" name="TextBox 582">
          <a:extLst>
            <a:ext uri="{FF2B5EF4-FFF2-40B4-BE49-F238E27FC236}">
              <a16:creationId xmlns:a16="http://schemas.microsoft.com/office/drawing/2014/main" id="{DEC7F5E8-A1AB-4D79-8719-0FFF19AB232B}"/>
            </a:ext>
          </a:extLst>
        </xdr:cNvPr>
        <xdr:cNvSpPr txBox="1"/>
      </xdr:nvSpPr>
      <xdr:spPr>
        <a:xfrm>
          <a:off x="8817841" y="11574318"/>
          <a:ext cx="1091622" cy="1431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latin typeface="Arial" panose="020B0604020202020204" pitchFamily="34" charset="0"/>
              <a:cs typeface="Arial" panose="020B0604020202020204" pitchFamily="34" charset="0"/>
            </a:rPr>
            <a:t>out of 24</a:t>
          </a:r>
        </a:p>
      </xdr:txBody>
    </xdr:sp>
    <xdr:clientData/>
  </xdr:twoCellAnchor>
  <xdr:twoCellAnchor>
    <xdr:from>
      <xdr:col>17</xdr:col>
      <xdr:colOff>173182</xdr:colOff>
      <xdr:row>61</xdr:row>
      <xdr:rowOff>129886</xdr:rowOff>
    </xdr:from>
    <xdr:to>
      <xdr:col>19</xdr:col>
      <xdr:colOff>52531</xdr:colOff>
      <xdr:row>62</xdr:row>
      <xdr:rowOff>91786</xdr:rowOff>
    </xdr:to>
    <xdr:sp macro="" textlink="">
      <xdr:nvSpPr>
        <xdr:cNvPr id="584" name="TextBox 583">
          <a:extLst>
            <a:ext uri="{FF2B5EF4-FFF2-40B4-BE49-F238E27FC236}">
              <a16:creationId xmlns:a16="http://schemas.microsoft.com/office/drawing/2014/main" id="{07573441-EB06-48CC-8C36-05D21B2B0AC7}"/>
            </a:ext>
          </a:extLst>
        </xdr:cNvPr>
        <xdr:cNvSpPr txBox="1"/>
      </xdr:nvSpPr>
      <xdr:spPr>
        <a:xfrm>
          <a:off x="10477500" y="11574318"/>
          <a:ext cx="1091622" cy="1495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latin typeface="Arial" panose="020B0604020202020204" pitchFamily="34" charset="0"/>
              <a:cs typeface="Arial" panose="020B0604020202020204" pitchFamily="34" charset="0"/>
            </a:rPr>
            <a:t>out of 24</a:t>
          </a:r>
        </a:p>
      </xdr:txBody>
    </xdr:sp>
    <xdr:clientData/>
  </xdr:twoCellAnchor>
  <xdr:oneCellAnchor>
    <xdr:from>
      <xdr:col>10</xdr:col>
      <xdr:colOff>315771</xdr:colOff>
      <xdr:row>83</xdr:row>
      <xdr:rowOff>63027</xdr:rowOff>
    </xdr:from>
    <xdr:ext cx="2778989" cy="505267"/>
    <xdr:sp macro="" textlink="Outcomes!B31">
      <xdr:nvSpPr>
        <xdr:cNvPr id="592" name="TextBox 591">
          <a:extLst>
            <a:ext uri="{FF2B5EF4-FFF2-40B4-BE49-F238E27FC236}">
              <a16:creationId xmlns:a16="http://schemas.microsoft.com/office/drawing/2014/main" id="{B0DEBBEF-1564-4D31-8A83-2D8B747DE81B}"/>
            </a:ext>
          </a:extLst>
        </xdr:cNvPr>
        <xdr:cNvSpPr txBox="1"/>
      </xdr:nvSpPr>
      <xdr:spPr>
        <a:xfrm>
          <a:off x="6454104" y="14996110"/>
          <a:ext cx="2778989"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fld id="{7FCD41BE-DCF2-4F07-9110-379FFF8CF483}" type="TxLink">
            <a:rPr lang="en-US" sz="1400" b="0" i="0" u="none" strike="noStrike">
              <a:solidFill>
                <a:srgbClr val="6E0036"/>
              </a:solidFill>
              <a:latin typeface="Arial" panose="020B0604020202020204" pitchFamily="34" charset="0"/>
              <a:cs typeface="Arial" panose="020B0604020202020204" pitchFamily="34" charset="0"/>
            </a:rPr>
            <a:pPr algn="ctr"/>
            <a:t>In Norfolk, 3,805 carers are supported by the local authority</a:t>
          </a:fld>
          <a:endParaRPr lang="en-GB" sz="300">
            <a:solidFill>
              <a:srgbClr val="6E0036"/>
            </a:solidFill>
            <a:latin typeface="Arial" panose="020B0604020202020204" pitchFamily="34" charset="0"/>
            <a:cs typeface="Arial" panose="020B0604020202020204" pitchFamily="34" charset="0"/>
          </a:endParaRPr>
        </a:p>
      </xdr:txBody>
    </xdr:sp>
    <xdr:clientData/>
  </xdr:oneCellAnchor>
  <xdr:twoCellAnchor>
    <xdr:from>
      <xdr:col>10</xdr:col>
      <xdr:colOff>233307</xdr:colOff>
      <xdr:row>82</xdr:row>
      <xdr:rowOff>2601</xdr:rowOff>
    </xdr:from>
    <xdr:to>
      <xdr:col>14</xdr:col>
      <xdr:colOff>580448</xdr:colOff>
      <xdr:row>87</xdr:row>
      <xdr:rowOff>43297</xdr:rowOff>
    </xdr:to>
    <xdr:sp macro="" textlink="">
      <xdr:nvSpPr>
        <xdr:cNvPr id="593" name="Rectangle: Diagonal Corners Rounded 41">
          <a:extLst>
            <a:ext uri="{FF2B5EF4-FFF2-40B4-BE49-F238E27FC236}">
              <a16:creationId xmlns:a16="http://schemas.microsoft.com/office/drawing/2014/main" id="{3DDAA830-469D-4839-A93B-3A5796EA570B}"/>
            </a:ext>
          </a:extLst>
        </xdr:cNvPr>
        <xdr:cNvSpPr/>
      </xdr:nvSpPr>
      <xdr:spPr>
        <a:xfrm>
          <a:off x="6294671" y="15386919"/>
          <a:ext cx="2771686" cy="978764"/>
        </a:xfrm>
        <a:prstGeom prst="round2DiagRect">
          <a:avLst/>
        </a:prstGeom>
        <a:noFill/>
        <a:ln w="38100">
          <a:solidFill>
            <a:srgbClr val="FF7A2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editAs="oneCell">
    <xdr:from>
      <xdr:col>18</xdr:col>
      <xdr:colOff>6350</xdr:colOff>
      <xdr:row>77</xdr:row>
      <xdr:rowOff>141142</xdr:rowOff>
    </xdr:from>
    <xdr:to>
      <xdr:col>19</xdr:col>
      <xdr:colOff>104339</xdr:colOff>
      <xdr:row>81</xdr:row>
      <xdr:rowOff>104336</xdr:rowOff>
    </xdr:to>
    <xdr:pic>
      <xdr:nvPicPr>
        <xdr:cNvPr id="594" name="Picture 593">
          <a:extLst>
            <a:ext uri="{FF2B5EF4-FFF2-40B4-BE49-F238E27FC236}">
              <a16:creationId xmlns:a16="http://schemas.microsoft.com/office/drawing/2014/main" id="{600A6179-19D6-4789-8369-8333A86FFBDD}"/>
            </a:ext>
          </a:extLst>
        </xdr:cNvPr>
        <xdr:cNvPicPr>
          <a:picLocks noChangeAspect="1"/>
        </xdr:cNvPicPr>
      </xdr:nvPicPr>
      <xdr:blipFill>
        <a:blip xmlns:r="http://schemas.openxmlformats.org/officeDocument/2006/relationships" r:embed="rId26" cstate="print">
          <a:biLevel thresh="75000"/>
          <a:extLst>
            <a:ext uri="{28A0092B-C50C-407E-A947-70E740481C1C}">
              <a14:useLocalDpi xmlns:a14="http://schemas.microsoft.com/office/drawing/2010/main" val="0"/>
            </a:ext>
          </a:extLst>
        </a:blip>
        <a:stretch>
          <a:fillRect/>
        </a:stretch>
      </xdr:blipFill>
      <xdr:spPr>
        <a:xfrm>
          <a:off x="10916805" y="14587392"/>
          <a:ext cx="700950" cy="716824"/>
        </a:xfrm>
        <a:prstGeom prst="rect">
          <a:avLst/>
        </a:prstGeom>
      </xdr:spPr>
    </xdr:pic>
    <xdr:clientData/>
  </xdr:twoCellAnchor>
  <xdr:twoCellAnchor>
    <xdr:from>
      <xdr:col>10</xdr:col>
      <xdr:colOff>202045</xdr:colOff>
      <xdr:row>75</xdr:row>
      <xdr:rowOff>86590</xdr:rowOff>
    </xdr:from>
    <xdr:to>
      <xdr:col>19</xdr:col>
      <xdr:colOff>449695</xdr:colOff>
      <xdr:row>77</xdr:row>
      <xdr:rowOff>150379</xdr:rowOff>
    </xdr:to>
    <xdr:sp macro="" textlink="">
      <xdr:nvSpPr>
        <xdr:cNvPr id="595" name="Rectangle: Rounded Corners 54">
          <a:extLst>
            <a:ext uri="{FF2B5EF4-FFF2-40B4-BE49-F238E27FC236}">
              <a16:creationId xmlns:a16="http://schemas.microsoft.com/office/drawing/2014/main" id="{6A876E9D-52DF-41CA-B557-D1FC0948BF04}"/>
            </a:ext>
          </a:extLst>
        </xdr:cNvPr>
        <xdr:cNvSpPr/>
      </xdr:nvSpPr>
      <xdr:spPr>
        <a:xfrm>
          <a:off x="6263409" y="14157613"/>
          <a:ext cx="5702877" cy="439016"/>
        </a:xfrm>
        <a:prstGeom prst="roundRect">
          <a:avLst/>
        </a:prstGeom>
        <a:solidFill>
          <a:srgbClr val="6E0036"/>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ctr"/>
          <a:r>
            <a:rPr lang="en-US" sz="2400" b="0" i="0" u="none" strike="noStrike">
              <a:solidFill>
                <a:schemeClr val="bg1"/>
              </a:solidFill>
              <a:latin typeface="Arial" panose="020B0604020202020204" pitchFamily="34" charset="0"/>
              <a:cs typeface="Arial" panose="020B0604020202020204" pitchFamily="34" charset="0"/>
            </a:rPr>
            <a:t>Care homes and</a:t>
          </a:r>
          <a:r>
            <a:rPr lang="en-US" sz="2400" b="0" i="0" u="none" strike="noStrike" baseline="0">
              <a:solidFill>
                <a:schemeClr val="bg1"/>
              </a:solidFill>
              <a:latin typeface="Arial" panose="020B0604020202020204" pitchFamily="34" charset="0"/>
              <a:cs typeface="Arial" panose="020B0604020202020204" pitchFamily="34" charset="0"/>
            </a:rPr>
            <a:t> carers</a:t>
          </a:r>
          <a:endParaRPr lang="en-US" sz="2400" b="0" i="0" u="none" strike="noStrike">
            <a:solidFill>
              <a:schemeClr val="bg1"/>
            </a:solidFill>
            <a:latin typeface="Arial" panose="020B0604020202020204" pitchFamily="34" charset="0"/>
            <a:cs typeface="Arial" panose="020B0604020202020204" pitchFamily="34" charset="0"/>
          </a:endParaRPr>
        </a:p>
      </xdr:txBody>
    </xdr:sp>
    <xdr:clientData/>
  </xdr:twoCellAnchor>
  <xdr:twoCellAnchor>
    <xdr:from>
      <xdr:col>10</xdr:col>
      <xdr:colOff>288638</xdr:colOff>
      <xdr:row>78</xdr:row>
      <xdr:rowOff>49643</xdr:rowOff>
    </xdr:from>
    <xdr:to>
      <xdr:col>17</xdr:col>
      <xdr:colOff>410442</xdr:colOff>
      <xdr:row>81</xdr:row>
      <xdr:rowOff>104197</xdr:rowOff>
    </xdr:to>
    <xdr:sp macro="" textlink="Outcomes!B29">
      <xdr:nvSpPr>
        <xdr:cNvPr id="596" name="TextBox 595">
          <a:extLst>
            <a:ext uri="{FF2B5EF4-FFF2-40B4-BE49-F238E27FC236}">
              <a16:creationId xmlns:a16="http://schemas.microsoft.com/office/drawing/2014/main" id="{6F553794-6B1E-4401-80ED-944BB29FD69D}"/>
            </a:ext>
          </a:extLst>
        </xdr:cNvPr>
        <xdr:cNvSpPr txBox="1"/>
      </xdr:nvSpPr>
      <xdr:spPr>
        <a:xfrm>
          <a:off x="6350002" y="14683507"/>
          <a:ext cx="4364758" cy="6173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B097F7A-20FB-4637-9FA1-9E8F9016C3CA}" type="TxLink">
            <a:rPr lang="en-US" sz="1400" b="0" i="0" u="none" strike="noStrike">
              <a:solidFill>
                <a:srgbClr val="6E0036"/>
              </a:solidFill>
              <a:latin typeface="Arial" panose="020B0604020202020204" pitchFamily="34" charset="0"/>
              <a:cs typeface="Arial" panose="020B0604020202020204" pitchFamily="34" charset="0"/>
            </a:rPr>
            <a:pPr algn="ctr"/>
            <a:t>In Norfolk, 66.4% of care homes are rated as good or outstanding by the CQC</a:t>
          </a:fld>
          <a:endParaRPr lang="en-GB" sz="500">
            <a:solidFill>
              <a:srgbClr val="6E0036"/>
            </a:solidFill>
            <a:latin typeface="Arial" panose="020B0604020202020204" pitchFamily="34" charset="0"/>
            <a:cs typeface="Arial" panose="020B0604020202020204" pitchFamily="34" charset="0"/>
          </a:endParaRPr>
        </a:p>
      </xdr:txBody>
    </xdr:sp>
    <xdr:clientData/>
  </xdr:twoCellAnchor>
  <xdr:oneCellAnchor>
    <xdr:from>
      <xdr:col>15</xdr:col>
      <xdr:colOff>303069</xdr:colOff>
      <xdr:row>82</xdr:row>
      <xdr:rowOff>25689</xdr:rowOff>
    </xdr:from>
    <xdr:ext cx="2525568" cy="941242"/>
    <xdr:sp macro="" textlink="Outcomes!B32">
      <xdr:nvSpPr>
        <xdr:cNvPr id="597" name="TextBox 596">
          <a:extLst>
            <a:ext uri="{FF2B5EF4-FFF2-40B4-BE49-F238E27FC236}">
              <a16:creationId xmlns:a16="http://schemas.microsoft.com/office/drawing/2014/main" id="{4A7112AE-762D-4165-95AC-C0655770C331}"/>
            </a:ext>
          </a:extLst>
        </xdr:cNvPr>
        <xdr:cNvSpPr txBox="1"/>
      </xdr:nvSpPr>
      <xdr:spPr>
        <a:xfrm>
          <a:off x="9395114" y="15410007"/>
          <a:ext cx="2525568" cy="9412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marL="0" indent="0" algn="ctr"/>
          <a:fld id="{5A111FF4-9C0D-4916-B70F-E106D2F429FB}" type="TxLink">
            <a:rPr lang="en-US" sz="1400" b="0" i="0" u="none" strike="noStrike">
              <a:solidFill>
                <a:srgbClr val="6E0036"/>
              </a:solidFill>
              <a:latin typeface="Arial" panose="020B0604020202020204" pitchFamily="34" charset="0"/>
              <a:ea typeface="+mn-ea"/>
              <a:cs typeface="Arial" panose="020B0604020202020204" pitchFamily="34" charset="0"/>
            </a:rPr>
            <a:pPr marL="0" indent="0" algn="ctr"/>
            <a:t>This is a decrease of 2.6% on the previous year</a:t>
          </a:fld>
          <a:endParaRPr lang="en-GB" sz="1400" b="0" i="0" u="none" strike="noStrike">
            <a:solidFill>
              <a:srgbClr val="6E0036"/>
            </a:solidFill>
            <a:latin typeface="Arial" panose="020B0604020202020204" pitchFamily="34" charset="0"/>
            <a:ea typeface="+mn-ea"/>
            <a:cs typeface="Arial" panose="020B0604020202020204" pitchFamily="34" charset="0"/>
          </a:endParaRPr>
        </a:p>
      </xdr:txBody>
    </xdr:sp>
    <xdr:clientData/>
  </xdr:oneCellAnchor>
  <xdr:twoCellAnchor>
    <xdr:from>
      <xdr:col>15</xdr:col>
      <xdr:colOff>303069</xdr:colOff>
      <xdr:row>81</xdr:row>
      <xdr:rowOff>158750</xdr:rowOff>
    </xdr:from>
    <xdr:to>
      <xdr:col>19</xdr:col>
      <xdr:colOff>397741</xdr:colOff>
      <xdr:row>87</xdr:row>
      <xdr:rowOff>2308</xdr:rowOff>
    </xdr:to>
    <xdr:sp macro="" textlink="">
      <xdr:nvSpPr>
        <xdr:cNvPr id="598" name="Rectangle: Diagonal Corners Rounded 41">
          <a:extLst>
            <a:ext uri="{FF2B5EF4-FFF2-40B4-BE49-F238E27FC236}">
              <a16:creationId xmlns:a16="http://schemas.microsoft.com/office/drawing/2014/main" id="{605CAE33-DA26-4140-B967-8BD43A9C14B8}"/>
            </a:ext>
          </a:extLst>
        </xdr:cNvPr>
        <xdr:cNvSpPr/>
      </xdr:nvSpPr>
      <xdr:spPr>
        <a:xfrm rot="10800000">
          <a:off x="9395114" y="15355455"/>
          <a:ext cx="2519218" cy="969239"/>
        </a:xfrm>
        <a:prstGeom prst="round2DiagRect">
          <a:avLst/>
        </a:prstGeom>
        <a:noFill/>
        <a:ln w="38100">
          <a:solidFill>
            <a:srgbClr val="FF7A2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11</xdr:col>
      <xdr:colOff>26844</xdr:colOff>
      <xdr:row>94</xdr:row>
      <xdr:rowOff>131620</xdr:rowOff>
    </xdr:from>
    <xdr:to>
      <xdr:col>12</xdr:col>
      <xdr:colOff>502805</xdr:colOff>
      <xdr:row>95</xdr:row>
      <xdr:rowOff>77645</xdr:rowOff>
    </xdr:to>
    <xdr:sp macro="" textlink="">
      <xdr:nvSpPr>
        <xdr:cNvPr id="49" name="TextBox 598">
          <a:extLst>
            <a:ext uri="{FF2B5EF4-FFF2-40B4-BE49-F238E27FC236}">
              <a16:creationId xmlns:a16="http://schemas.microsoft.com/office/drawing/2014/main" id="{C812DC74-395B-45C9-9146-62B8941D9235}"/>
            </a:ext>
          </a:extLst>
        </xdr:cNvPr>
        <xdr:cNvSpPr txBox="1"/>
      </xdr:nvSpPr>
      <xdr:spPr>
        <a:xfrm>
          <a:off x="6694344" y="17767302"/>
          <a:ext cx="1082097" cy="1336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latin typeface="Arial" panose="020B0604020202020204" pitchFamily="34" charset="0"/>
              <a:cs typeface="Arial" panose="020B0604020202020204" pitchFamily="34" charset="0"/>
            </a:rPr>
            <a:t>out of 12</a:t>
          </a:r>
        </a:p>
      </xdr:txBody>
    </xdr:sp>
    <xdr:clientData/>
  </xdr:twoCellAnchor>
  <xdr:twoCellAnchor>
    <xdr:from>
      <xdr:col>10</xdr:col>
      <xdr:colOff>28864</xdr:colOff>
      <xdr:row>88</xdr:row>
      <xdr:rowOff>158752</xdr:rowOff>
    </xdr:from>
    <xdr:to>
      <xdr:col>15</xdr:col>
      <xdr:colOff>306244</xdr:colOff>
      <xdr:row>90</xdr:row>
      <xdr:rowOff>60903</xdr:rowOff>
    </xdr:to>
    <xdr:sp macro="" textlink="">
      <xdr:nvSpPr>
        <xdr:cNvPr id="600" name="TextBox 599">
          <a:extLst>
            <a:ext uri="{FF2B5EF4-FFF2-40B4-BE49-F238E27FC236}">
              <a16:creationId xmlns:a16="http://schemas.microsoft.com/office/drawing/2014/main" id="{B6B71040-E40E-4222-9EF8-CD9E26BC4113}"/>
            </a:ext>
          </a:extLst>
        </xdr:cNvPr>
        <xdr:cNvSpPr txBox="1"/>
      </xdr:nvSpPr>
      <xdr:spPr>
        <a:xfrm>
          <a:off x="6090228" y="16668752"/>
          <a:ext cx="3308061" cy="27737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i="0" u="sng">
              <a:latin typeface="Arial" panose="020B0604020202020204" pitchFamily="34" charset="0"/>
              <a:cs typeface="Arial" panose="020B0604020202020204" pitchFamily="34" charset="0"/>
            </a:rPr>
            <a:t>Average quality of life score amongst carers</a:t>
          </a:r>
        </a:p>
      </xdr:txBody>
    </xdr:sp>
    <xdr:clientData/>
  </xdr:twoCellAnchor>
  <xdr:twoCellAnchor>
    <xdr:from>
      <xdr:col>11</xdr:col>
      <xdr:colOff>106250</xdr:colOff>
      <xdr:row>92</xdr:row>
      <xdr:rowOff>30017</xdr:rowOff>
    </xdr:from>
    <xdr:to>
      <xdr:col>12</xdr:col>
      <xdr:colOff>404091</xdr:colOff>
      <xdr:row>94</xdr:row>
      <xdr:rowOff>28604</xdr:rowOff>
    </xdr:to>
    <xdr:sp macro="" textlink="Outcomes!C23">
      <xdr:nvSpPr>
        <xdr:cNvPr id="601" name="TextBox 12">
          <a:extLst>
            <a:ext uri="{FF2B5EF4-FFF2-40B4-BE49-F238E27FC236}">
              <a16:creationId xmlns:a16="http://schemas.microsoft.com/office/drawing/2014/main" id="{0C9F6F9E-D3F0-49FD-9519-3175AC03D264}"/>
            </a:ext>
          </a:extLst>
        </xdr:cNvPr>
        <xdr:cNvSpPr txBox="1"/>
      </xdr:nvSpPr>
      <xdr:spPr>
        <a:xfrm>
          <a:off x="6773750" y="17290472"/>
          <a:ext cx="903977" cy="373814"/>
        </a:xfrm>
        <a:prstGeom prst="rect">
          <a:avLst/>
        </a:prstGeom>
        <a:solidFill>
          <a:schemeClr val="bg1"/>
        </a:solid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09A3F184-2815-4E31-9DCD-C14435B9A988}" type="TxLink">
            <a:rPr lang="en-US" sz="2800" b="1" i="0" u="none" strike="noStrike">
              <a:solidFill>
                <a:srgbClr val="000000"/>
              </a:solidFill>
              <a:latin typeface="Arial" panose="020B0604020202020204" pitchFamily="34" charset="0"/>
              <a:cs typeface="Arial" panose="020B0604020202020204" pitchFamily="34" charset="0"/>
            </a:rPr>
            <a:pPr algn="ctr"/>
            <a:t>7.2</a:t>
          </a:fld>
          <a:endParaRPr lang="en-GB" sz="28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13</xdr:col>
      <xdr:colOff>303070</xdr:colOff>
      <xdr:row>91</xdr:row>
      <xdr:rowOff>180397</xdr:rowOff>
    </xdr:from>
    <xdr:to>
      <xdr:col>14</xdr:col>
      <xdr:colOff>397884</xdr:colOff>
      <xdr:row>95</xdr:row>
      <xdr:rowOff>149943</xdr:rowOff>
    </xdr:to>
    <xdr:pic>
      <xdr:nvPicPr>
        <xdr:cNvPr id="603" name="Picture 602">
          <a:extLst>
            <a:ext uri="{FF2B5EF4-FFF2-40B4-BE49-F238E27FC236}">
              <a16:creationId xmlns:a16="http://schemas.microsoft.com/office/drawing/2014/main" id="{43473594-FB66-4B65-B0FE-D1E557BBA3C2}"/>
            </a:ext>
          </a:extLst>
        </xdr:cNvPr>
        <xdr:cNvPicPr>
          <a:picLocks noChangeAspect="1"/>
        </xdr:cNvPicPr>
      </xdr:nvPicPr>
      <xdr:blipFill>
        <a:blip xmlns:r="http://schemas.openxmlformats.org/officeDocument/2006/relationships" r:embed="rId23" cstate="print">
          <a:biLevel thresh="75000"/>
          <a:extLst>
            <a:ext uri="{28A0092B-C50C-407E-A947-70E740481C1C}">
              <a14:useLocalDpi xmlns:a14="http://schemas.microsoft.com/office/drawing/2010/main" val="0"/>
            </a:ext>
          </a:extLst>
        </a:blip>
        <a:stretch>
          <a:fillRect/>
        </a:stretch>
      </xdr:blipFill>
      <xdr:spPr>
        <a:xfrm>
          <a:off x="8182843" y="17253238"/>
          <a:ext cx="700950" cy="720000"/>
        </a:xfrm>
        <a:prstGeom prst="rect">
          <a:avLst/>
        </a:prstGeom>
      </xdr:spPr>
    </xdr:pic>
    <xdr:clientData/>
  </xdr:twoCellAnchor>
  <xdr:twoCellAnchor>
    <xdr:from>
      <xdr:col>16</xdr:col>
      <xdr:colOff>9523</xdr:colOff>
      <xdr:row>91</xdr:row>
      <xdr:rowOff>8953</xdr:rowOff>
    </xdr:from>
    <xdr:to>
      <xdr:col>18</xdr:col>
      <xdr:colOff>-1</xdr:colOff>
      <xdr:row>95</xdr:row>
      <xdr:rowOff>173182</xdr:rowOff>
    </xdr:to>
    <xdr:sp macro="" textlink="">
      <xdr:nvSpPr>
        <xdr:cNvPr id="51" name="Rectangle: Diagonal Corners Rounded 42">
          <a:extLst>
            <a:ext uri="{FF2B5EF4-FFF2-40B4-BE49-F238E27FC236}">
              <a16:creationId xmlns:a16="http://schemas.microsoft.com/office/drawing/2014/main" id="{F1FA521C-0526-4176-9666-5C0DA751E5B1}"/>
            </a:ext>
          </a:extLst>
        </xdr:cNvPr>
        <xdr:cNvSpPr/>
      </xdr:nvSpPr>
      <xdr:spPr>
        <a:xfrm rot="5400000">
          <a:off x="9851738" y="16937761"/>
          <a:ext cx="914683" cy="1202749"/>
        </a:xfrm>
        <a:prstGeom prst="round2DiagRect">
          <a:avLst/>
        </a:prstGeom>
        <a:noFill/>
        <a:ln w="38100">
          <a:solidFill>
            <a:srgbClr val="94C21F"/>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xdr:from>
      <xdr:col>16</xdr:col>
      <xdr:colOff>72160</xdr:colOff>
      <xdr:row>92</xdr:row>
      <xdr:rowOff>18473</xdr:rowOff>
    </xdr:from>
    <xdr:to>
      <xdr:col>17</xdr:col>
      <xdr:colOff>501940</xdr:colOff>
      <xdr:row>94</xdr:row>
      <xdr:rowOff>10710</xdr:rowOff>
    </xdr:to>
    <xdr:sp macro="" textlink="Outcomes!C24">
      <xdr:nvSpPr>
        <xdr:cNvPr id="605" name="TextBox 12">
          <a:extLst>
            <a:ext uri="{FF2B5EF4-FFF2-40B4-BE49-F238E27FC236}">
              <a16:creationId xmlns:a16="http://schemas.microsoft.com/office/drawing/2014/main" id="{8F5A3A00-8B3A-4335-856C-DD83F958835A}"/>
            </a:ext>
          </a:extLst>
        </xdr:cNvPr>
        <xdr:cNvSpPr txBox="1"/>
      </xdr:nvSpPr>
      <xdr:spPr>
        <a:xfrm>
          <a:off x="9770342" y="17278928"/>
          <a:ext cx="1035916" cy="367464"/>
        </a:xfrm>
        <a:prstGeom prst="rect">
          <a:avLst/>
        </a:prstGeom>
        <a:solidFill>
          <a:schemeClr val="bg1"/>
        </a:solidFill>
      </xdr:spPr>
      <xdr:txBody>
        <a:bodyPr wrap="square" rtlCol="0" anchor="ctr">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fld id="{BC19C7AE-7300-4360-AC6F-C4CD250824F0}" type="TxLink">
            <a:rPr lang="en-US" sz="2800" b="1" i="0" u="none" strike="noStrike">
              <a:solidFill>
                <a:srgbClr val="000000"/>
              </a:solidFill>
              <a:latin typeface="Arial" panose="020B0604020202020204" pitchFamily="34" charset="0"/>
              <a:cs typeface="Arial" panose="020B0604020202020204" pitchFamily="34" charset="0"/>
            </a:rPr>
            <a:pPr algn="ctr"/>
            <a:t>7.4</a:t>
          </a:fld>
          <a:endParaRPr lang="en-GB" sz="28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16</xdr:col>
      <xdr:colOff>121806</xdr:colOff>
      <xdr:row>94</xdr:row>
      <xdr:rowOff>114588</xdr:rowOff>
    </xdr:from>
    <xdr:to>
      <xdr:col>17</xdr:col>
      <xdr:colOff>540330</xdr:colOff>
      <xdr:row>95</xdr:row>
      <xdr:rowOff>40987</xdr:rowOff>
    </xdr:to>
    <xdr:sp macro="" textlink="">
      <xdr:nvSpPr>
        <xdr:cNvPr id="50" name="TextBox 605">
          <a:extLst>
            <a:ext uri="{FF2B5EF4-FFF2-40B4-BE49-F238E27FC236}">
              <a16:creationId xmlns:a16="http://schemas.microsoft.com/office/drawing/2014/main" id="{0087B137-E22D-4CD7-81E2-CF9741383279}"/>
            </a:ext>
          </a:extLst>
        </xdr:cNvPr>
        <xdr:cNvSpPr txBox="1"/>
      </xdr:nvSpPr>
      <xdr:spPr>
        <a:xfrm>
          <a:off x="9819988" y="17750270"/>
          <a:ext cx="1024660" cy="1140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latin typeface="Arial" panose="020B0604020202020204" pitchFamily="34" charset="0"/>
              <a:cs typeface="Arial" panose="020B0604020202020204" pitchFamily="34" charset="0"/>
            </a:rPr>
            <a:t>out of 12</a:t>
          </a:r>
        </a:p>
      </xdr:txBody>
    </xdr:sp>
    <xdr:clientData/>
  </xdr:twoCellAnchor>
  <xdr:twoCellAnchor>
    <xdr:from>
      <xdr:col>16</xdr:col>
      <xdr:colOff>190788</xdr:colOff>
      <xdr:row>88</xdr:row>
      <xdr:rowOff>125846</xdr:rowOff>
    </xdr:from>
    <xdr:to>
      <xdr:col>19</xdr:col>
      <xdr:colOff>314613</xdr:colOff>
      <xdr:row>90</xdr:row>
      <xdr:rowOff>27421</xdr:rowOff>
    </xdr:to>
    <xdr:sp macro="" textlink="">
      <xdr:nvSpPr>
        <xdr:cNvPr id="607" name="TextBox 606">
          <a:extLst>
            <a:ext uri="{FF2B5EF4-FFF2-40B4-BE49-F238E27FC236}">
              <a16:creationId xmlns:a16="http://schemas.microsoft.com/office/drawing/2014/main" id="{49A34E40-8FA2-4F57-9286-148D63F19C71}"/>
            </a:ext>
          </a:extLst>
        </xdr:cNvPr>
        <xdr:cNvSpPr txBox="1"/>
      </xdr:nvSpPr>
      <xdr:spPr>
        <a:xfrm>
          <a:off x="9888970" y="16635846"/>
          <a:ext cx="1942234" cy="2768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50" b="1" i="0" u="sng">
              <a:latin typeface="Arial" panose="020B0604020202020204" pitchFamily="34" charset="0"/>
              <a:cs typeface="Arial" panose="020B0604020202020204" pitchFamily="34" charset="0"/>
            </a:rPr>
            <a:t>Carers aged over 65</a:t>
          </a:r>
        </a:p>
      </xdr:txBody>
    </xdr:sp>
    <xdr:clientData/>
  </xdr:twoCellAnchor>
  <xdr:twoCellAnchor editAs="oneCell">
    <xdr:from>
      <xdr:col>18</xdr:col>
      <xdr:colOff>187613</xdr:colOff>
      <xdr:row>91</xdr:row>
      <xdr:rowOff>116321</xdr:rowOff>
    </xdr:from>
    <xdr:to>
      <xdr:col>19</xdr:col>
      <xdr:colOff>288777</xdr:colOff>
      <xdr:row>95</xdr:row>
      <xdr:rowOff>82694</xdr:rowOff>
    </xdr:to>
    <xdr:pic>
      <xdr:nvPicPr>
        <xdr:cNvPr id="608" name="Picture 607">
          <a:extLst>
            <a:ext uri="{FF2B5EF4-FFF2-40B4-BE49-F238E27FC236}">
              <a16:creationId xmlns:a16="http://schemas.microsoft.com/office/drawing/2014/main" id="{E9E0147E-11BA-49BA-9973-8E851168F42C}"/>
            </a:ext>
          </a:extLst>
        </xdr:cNvPr>
        <xdr:cNvPicPr>
          <a:picLocks noChangeAspect="1"/>
        </xdr:cNvPicPr>
      </xdr:nvPicPr>
      <xdr:blipFill>
        <a:blip xmlns:r="http://schemas.openxmlformats.org/officeDocument/2006/relationships" r:embed="rId14" cstate="print">
          <a:biLevel thresh="75000"/>
          <a:extLst>
            <a:ext uri="{28A0092B-C50C-407E-A947-70E740481C1C}">
              <a14:useLocalDpi xmlns:a14="http://schemas.microsoft.com/office/drawing/2010/main" val="0"/>
            </a:ext>
          </a:extLst>
        </a:blip>
        <a:stretch>
          <a:fillRect/>
        </a:stretch>
      </xdr:blipFill>
      <xdr:spPr>
        <a:xfrm>
          <a:off x="11098068" y="17189162"/>
          <a:ext cx="707300" cy="713652"/>
        </a:xfrm>
        <a:prstGeom prst="rect">
          <a:avLst/>
        </a:prstGeom>
      </xdr:spPr>
    </xdr:pic>
    <xdr:clientData/>
  </xdr:twoCellAnchor>
  <xdr:twoCellAnchor>
    <xdr:from>
      <xdr:col>11</xdr:col>
      <xdr:colOff>11256</xdr:colOff>
      <xdr:row>91</xdr:row>
      <xdr:rowOff>8951</xdr:rowOff>
    </xdr:from>
    <xdr:to>
      <xdr:col>12</xdr:col>
      <xdr:colOff>591704</xdr:colOff>
      <xdr:row>96</xdr:row>
      <xdr:rowOff>14432</xdr:rowOff>
    </xdr:to>
    <xdr:sp macro="" textlink="">
      <xdr:nvSpPr>
        <xdr:cNvPr id="52" name="Rectangle: Diagonal Corners Rounded 42">
          <a:extLst>
            <a:ext uri="{FF2B5EF4-FFF2-40B4-BE49-F238E27FC236}">
              <a16:creationId xmlns:a16="http://schemas.microsoft.com/office/drawing/2014/main" id="{38F6BF5E-8562-447D-B64F-631EDC4ED9A7}"/>
            </a:ext>
          </a:extLst>
        </xdr:cNvPr>
        <xdr:cNvSpPr/>
      </xdr:nvSpPr>
      <xdr:spPr>
        <a:xfrm rot="5400000">
          <a:off x="6800273" y="16960275"/>
          <a:ext cx="943549" cy="1186584"/>
        </a:xfrm>
        <a:prstGeom prst="round2DiagRect">
          <a:avLst/>
        </a:prstGeom>
        <a:noFill/>
        <a:ln w="38100">
          <a:solidFill>
            <a:srgbClr val="94C21F"/>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highlight>
              <a:srgbClr val="FFFF00"/>
            </a:highlight>
            <a:latin typeface="Arial" panose="020B0604020202020204" pitchFamily="34" charset="0"/>
            <a:cs typeface="Arial" panose="020B0604020202020204" pitchFamily="34" charset="0"/>
          </a:endParaRPr>
        </a:p>
      </xdr:txBody>
    </xdr:sp>
    <xdr:clientData/>
  </xdr:twoCellAnchor>
  <xdr:twoCellAnchor editAs="oneCell">
    <xdr:from>
      <xdr:col>8</xdr:col>
      <xdr:colOff>94672</xdr:colOff>
      <xdr:row>0</xdr:row>
      <xdr:rowOff>49647</xdr:rowOff>
    </xdr:from>
    <xdr:to>
      <xdr:col>9</xdr:col>
      <xdr:colOff>407266</xdr:colOff>
      <xdr:row>2</xdr:row>
      <xdr:rowOff>57494</xdr:rowOff>
    </xdr:to>
    <xdr:pic>
      <xdr:nvPicPr>
        <xdr:cNvPr id="17" name="Picture 16" descr="LG Inform Logo">
          <a:extLst>
            <a:ext uri="{FF2B5EF4-FFF2-40B4-BE49-F238E27FC236}">
              <a16:creationId xmlns:a16="http://schemas.microsoft.com/office/drawing/2014/main" id="{10764C6F-E7B9-C232-0A29-C291A419CBD2}"/>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4943763" y="49647"/>
          <a:ext cx="915555" cy="383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129886</xdr:colOff>
      <xdr:row>0</xdr:row>
      <xdr:rowOff>72159</xdr:rowOff>
    </xdr:from>
    <xdr:to>
      <xdr:col>19</xdr:col>
      <xdr:colOff>448830</xdr:colOff>
      <xdr:row>2</xdr:row>
      <xdr:rowOff>83181</xdr:rowOff>
    </xdr:to>
    <xdr:pic>
      <xdr:nvPicPr>
        <xdr:cNvPr id="18" name="Picture 17" descr="LG Inform Logo">
          <a:extLst>
            <a:ext uri="{FF2B5EF4-FFF2-40B4-BE49-F238E27FC236}">
              <a16:creationId xmlns:a16="http://schemas.microsoft.com/office/drawing/2014/main" id="{ED557841-4DB7-47EF-8ED2-17F8BC7A5931}"/>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1040341" y="72159"/>
          <a:ext cx="921905" cy="383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158750</xdr:colOff>
      <xdr:row>49</xdr:row>
      <xdr:rowOff>86591</xdr:rowOff>
    </xdr:from>
    <xdr:to>
      <xdr:col>9</xdr:col>
      <xdr:colOff>484044</xdr:colOff>
      <xdr:row>51</xdr:row>
      <xdr:rowOff>97613</xdr:rowOff>
    </xdr:to>
    <xdr:pic>
      <xdr:nvPicPr>
        <xdr:cNvPr id="19" name="Picture 18" descr="LG Inform Logo">
          <a:extLst>
            <a:ext uri="{FF2B5EF4-FFF2-40B4-BE49-F238E27FC236}">
              <a16:creationId xmlns:a16="http://schemas.microsoft.com/office/drawing/2014/main" id="{F82CFA79-31D6-4AD4-9AB9-BE6DFD45086F}"/>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007841" y="9279659"/>
          <a:ext cx="928255" cy="386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60902</xdr:colOff>
      <xdr:row>49</xdr:row>
      <xdr:rowOff>54552</xdr:rowOff>
    </xdr:from>
    <xdr:to>
      <xdr:col>19</xdr:col>
      <xdr:colOff>389371</xdr:colOff>
      <xdr:row>51</xdr:row>
      <xdr:rowOff>65574</xdr:rowOff>
    </xdr:to>
    <xdr:pic>
      <xdr:nvPicPr>
        <xdr:cNvPr id="20" name="Picture 19" descr="LG Inform Logo">
          <a:extLst>
            <a:ext uri="{FF2B5EF4-FFF2-40B4-BE49-F238E27FC236}">
              <a16:creationId xmlns:a16="http://schemas.microsoft.com/office/drawing/2014/main" id="{44391706-5A31-4261-8905-9E2B5164BFE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0971357" y="9247620"/>
          <a:ext cx="931430" cy="3894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548409</xdr:colOff>
      <xdr:row>98</xdr:row>
      <xdr:rowOff>86591</xdr:rowOff>
    </xdr:from>
    <xdr:to>
      <xdr:col>9</xdr:col>
      <xdr:colOff>267567</xdr:colOff>
      <xdr:row>100</xdr:row>
      <xdr:rowOff>94437</xdr:rowOff>
    </xdr:to>
    <xdr:pic>
      <xdr:nvPicPr>
        <xdr:cNvPr id="21" name="Picture 20" descr="LG Inform Logo">
          <a:extLst>
            <a:ext uri="{FF2B5EF4-FFF2-40B4-BE49-F238E27FC236}">
              <a16:creationId xmlns:a16="http://schemas.microsoft.com/office/drawing/2014/main" id="{5FE036ED-064D-4957-AF48-CCD37768B798}"/>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4791364" y="18472727"/>
          <a:ext cx="931430" cy="383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xdr:colOff>
      <xdr:row>46</xdr:row>
      <xdr:rowOff>161925</xdr:rowOff>
    </xdr:from>
    <xdr:to>
      <xdr:col>9</xdr:col>
      <xdr:colOff>577274</xdr:colOff>
      <xdr:row>48</xdr:row>
      <xdr:rowOff>149679</xdr:rowOff>
    </xdr:to>
    <xdr:sp macro="" textlink="">
      <xdr:nvSpPr>
        <xdr:cNvPr id="12" name="TextBox 5">
          <a:extLst>
            <a:ext uri="{FF2B5EF4-FFF2-40B4-BE49-F238E27FC236}">
              <a16:creationId xmlns:a16="http://schemas.microsoft.com/office/drawing/2014/main" id="{78FD0CD7-13B0-B077-3971-AA3DEC549252}"/>
            </a:ext>
          </a:extLst>
        </xdr:cNvPr>
        <xdr:cNvSpPr txBox="1"/>
      </xdr:nvSpPr>
      <xdr:spPr>
        <a:xfrm>
          <a:off x="1" y="8792152"/>
          <a:ext cx="6032500" cy="36298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endParaRPr lang="en-GB" sz="900">
            <a:solidFill>
              <a:sysClr val="windowText" lastClr="000000"/>
            </a:solidFill>
            <a:highlight>
              <a:srgbClr val="FFFF00"/>
            </a:highlight>
            <a:latin typeface="Arial" panose="020B0604020202020204" pitchFamily="34" charset="0"/>
            <a:cs typeface="Arial" panose="020B0604020202020204" pitchFamily="34" charset="0"/>
          </a:endParaRPr>
        </a:p>
        <a:p>
          <a:pPr algn="r"/>
          <a:r>
            <a:rPr lang="en-GB" sz="900">
              <a:solidFill>
                <a:sysClr val="windowText" lastClr="000000"/>
              </a:solidFill>
              <a:latin typeface="Arial" panose="020B0604020202020204" pitchFamily="34" charset="0"/>
              <a:cs typeface="Arial" panose="020B0604020202020204" pitchFamily="34" charset="0"/>
            </a:rPr>
            <a:t>© 2026 Local Government Association. All icons made by Freepik from www.flaticon.com</a:t>
          </a:r>
        </a:p>
      </xdr:txBody>
    </xdr:sp>
    <xdr:clientData/>
  </xdr:twoCellAnchor>
  <xdr:twoCellAnchor>
    <xdr:from>
      <xdr:col>9</xdr:col>
      <xdr:colOff>591705</xdr:colOff>
      <xdr:row>46</xdr:row>
      <xdr:rowOff>158751</xdr:rowOff>
    </xdr:from>
    <xdr:to>
      <xdr:col>19</xdr:col>
      <xdr:colOff>569191</xdr:colOff>
      <xdr:row>48</xdr:row>
      <xdr:rowOff>152855</xdr:rowOff>
    </xdr:to>
    <xdr:sp macro="" textlink="">
      <xdr:nvSpPr>
        <xdr:cNvPr id="13" name="TextBox 5">
          <a:extLst>
            <a:ext uri="{FF2B5EF4-FFF2-40B4-BE49-F238E27FC236}">
              <a16:creationId xmlns:a16="http://schemas.microsoft.com/office/drawing/2014/main" id="{72950F91-BAEC-4548-9136-D2B63162A2B0}"/>
            </a:ext>
          </a:extLst>
        </xdr:cNvPr>
        <xdr:cNvSpPr txBox="1"/>
      </xdr:nvSpPr>
      <xdr:spPr>
        <a:xfrm>
          <a:off x="6046932" y="8788978"/>
          <a:ext cx="6038850" cy="3693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endParaRPr lang="en-GB" sz="900">
            <a:solidFill>
              <a:sysClr val="windowText" lastClr="000000"/>
            </a:solidFill>
            <a:highlight>
              <a:srgbClr val="FFFF00"/>
            </a:highlight>
            <a:latin typeface="Arial" panose="020B0604020202020204" pitchFamily="34" charset="0"/>
            <a:cs typeface="Arial" panose="020B0604020202020204" pitchFamily="34" charset="0"/>
          </a:endParaRPr>
        </a:p>
        <a:p>
          <a:pPr algn="r"/>
          <a:r>
            <a:rPr lang="en-GB" sz="900">
              <a:solidFill>
                <a:sysClr val="windowText" lastClr="000000"/>
              </a:solidFill>
              <a:latin typeface="Arial" panose="020B0604020202020204" pitchFamily="34" charset="0"/>
              <a:cs typeface="Arial" panose="020B0604020202020204" pitchFamily="34" charset="0"/>
            </a:rPr>
            <a:t>© 2026 Local Government Association. All icons made by Freepik from www.flaticon.com</a:t>
          </a:r>
        </a:p>
      </xdr:txBody>
    </xdr:sp>
    <xdr:clientData/>
  </xdr:twoCellAnchor>
  <xdr:twoCellAnchor>
    <xdr:from>
      <xdr:col>0</xdr:col>
      <xdr:colOff>0</xdr:colOff>
      <xdr:row>95</xdr:row>
      <xdr:rowOff>158750</xdr:rowOff>
    </xdr:from>
    <xdr:to>
      <xdr:col>9</xdr:col>
      <xdr:colOff>583623</xdr:colOff>
      <xdr:row>97</xdr:row>
      <xdr:rowOff>152854</xdr:rowOff>
    </xdr:to>
    <xdr:sp macro="" textlink="">
      <xdr:nvSpPr>
        <xdr:cNvPr id="31" name="TextBox 5">
          <a:extLst>
            <a:ext uri="{FF2B5EF4-FFF2-40B4-BE49-F238E27FC236}">
              <a16:creationId xmlns:a16="http://schemas.microsoft.com/office/drawing/2014/main" id="{E1530DED-AC47-4727-8E57-89497BFB0F79}"/>
            </a:ext>
          </a:extLst>
        </xdr:cNvPr>
        <xdr:cNvSpPr txBox="1"/>
      </xdr:nvSpPr>
      <xdr:spPr>
        <a:xfrm>
          <a:off x="0" y="17982045"/>
          <a:ext cx="6038850" cy="3693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endParaRPr lang="en-GB" sz="900">
            <a:solidFill>
              <a:sysClr val="windowText" lastClr="000000"/>
            </a:solidFill>
            <a:highlight>
              <a:srgbClr val="FFFF00"/>
            </a:highlight>
            <a:latin typeface="Arial" panose="020B0604020202020204" pitchFamily="34" charset="0"/>
            <a:cs typeface="Arial" panose="020B0604020202020204" pitchFamily="34" charset="0"/>
          </a:endParaRPr>
        </a:p>
        <a:p>
          <a:pPr algn="r"/>
          <a:r>
            <a:rPr lang="en-GB" sz="900">
              <a:solidFill>
                <a:sysClr val="windowText" lastClr="000000"/>
              </a:solidFill>
              <a:latin typeface="Arial" panose="020B0604020202020204" pitchFamily="34" charset="0"/>
              <a:cs typeface="Arial" panose="020B0604020202020204" pitchFamily="34" charset="0"/>
            </a:rPr>
            <a:t>© 2026 Local Government Association. All icons made by Freepik from www.flaticon.com</a:t>
          </a:r>
        </a:p>
      </xdr:txBody>
    </xdr:sp>
    <xdr:clientData/>
  </xdr:twoCellAnchor>
  <xdr:twoCellAnchor>
    <xdr:from>
      <xdr:col>10</xdr:col>
      <xdr:colOff>43295</xdr:colOff>
      <xdr:row>95</xdr:row>
      <xdr:rowOff>115455</xdr:rowOff>
    </xdr:from>
    <xdr:to>
      <xdr:col>20</xdr:col>
      <xdr:colOff>17607</xdr:colOff>
      <xdr:row>97</xdr:row>
      <xdr:rowOff>106384</xdr:rowOff>
    </xdr:to>
    <xdr:sp macro="" textlink="">
      <xdr:nvSpPr>
        <xdr:cNvPr id="54" name="TextBox 5">
          <a:extLst>
            <a:ext uri="{FF2B5EF4-FFF2-40B4-BE49-F238E27FC236}">
              <a16:creationId xmlns:a16="http://schemas.microsoft.com/office/drawing/2014/main" id="{408F7BCA-0294-4EED-A4DB-24FD4060FA51}"/>
            </a:ext>
          </a:extLst>
        </xdr:cNvPr>
        <xdr:cNvSpPr txBox="1"/>
      </xdr:nvSpPr>
      <xdr:spPr>
        <a:xfrm>
          <a:off x="6104659" y="17938750"/>
          <a:ext cx="6035675" cy="36615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endParaRPr lang="en-GB" sz="900">
            <a:solidFill>
              <a:sysClr val="windowText" lastClr="000000"/>
            </a:solidFill>
            <a:highlight>
              <a:srgbClr val="FFFF00"/>
            </a:highlight>
            <a:latin typeface="Arial" panose="020B0604020202020204" pitchFamily="34" charset="0"/>
            <a:cs typeface="Arial" panose="020B0604020202020204" pitchFamily="34" charset="0"/>
          </a:endParaRPr>
        </a:p>
        <a:p>
          <a:pPr algn="r"/>
          <a:r>
            <a:rPr lang="en-GB" sz="900">
              <a:solidFill>
                <a:sysClr val="windowText" lastClr="000000"/>
              </a:solidFill>
              <a:latin typeface="Arial" panose="020B0604020202020204" pitchFamily="34" charset="0"/>
              <a:cs typeface="Arial" panose="020B0604020202020204" pitchFamily="34" charset="0"/>
            </a:rPr>
            <a:t>© 2026 Local Government Association. All icons made by Freepik from www.flaticon.com</a:t>
          </a:r>
        </a:p>
      </xdr:txBody>
    </xdr:sp>
    <xdr:clientData/>
  </xdr:twoCellAnchor>
  <xdr:twoCellAnchor>
    <xdr:from>
      <xdr:col>0</xdr:col>
      <xdr:colOff>72159</xdr:colOff>
      <xdr:row>143</xdr:row>
      <xdr:rowOff>0</xdr:rowOff>
    </xdr:from>
    <xdr:to>
      <xdr:col>10</xdr:col>
      <xdr:colOff>46470</xdr:colOff>
      <xdr:row>144</xdr:row>
      <xdr:rowOff>178544</xdr:rowOff>
    </xdr:to>
    <xdr:sp macro="" textlink="">
      <xdr:nvSpPr>
        <xdr:cNvPr id="485" name="TextBox 5">
          <a:extLst>
            <a:ext uri="{FF2B5EF4-FFF2-40B4-BE49-F238E27FC236}">
              <a16:creationId xmlns:a16="http://schemas.microsoft.com/office/drawing/2014/main" id="{C5B5EEDA-438E-41B6-A54C-6C2EA8A2751A}"/>
            </a:ext>
          </a:extLst>
        </xdr:cNvPr>
        <xdr:cNvSpPr txBox="1"/>
      </xdr:nvSpPr>
      <xdr:spPr>
        <a:xfrm>
          <a:off x="72159" y="26857614"/>
          <a:ext cx="6035675" cy="36615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endParaRPr lang="en-GB" sz="900">
            <a:solidFill>
              <a:sysClr val="windowText" lastClr="000000"/>
            </a:solidFill>
            <a:highlight>
              <a:srgbClr val="FFFF00"/>
            </a:highlight>
            <a:latin typeface="Arial" panose="020B0604020202020204" pitchFamily="34" charset="0"/>
            <a:cs typeface="Arial" panose="020B0604020202020204" pitchFamily="34" charset="0"/>
          </a:endParaRPr>
        </a:p>
        <a:p>
          <a:pPr algn="r"/>
          <a:r>
            <a:rPr lang="en-GB" sz="900">
              <a:solidFill>
                <a:sysClr val="windowText" lastClr="000000"/>
              </a:solidFill>
              <a:latin typeface="Arial" panose="020B0604020202020204" pitchFamily="34" charset="0"/>
              <a:cs typeface="Arial" panose="020B0604020202020204" pitchFamily="34" charset="0"/>
            </a:rPr>
            <a:t>© 2026 Local Government Association. All icons made by Freepik from www.flaticon.com</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63500</xdr:colOff>
      <xdr:row>11</xdr:row>
      <xdr:rowOff>210482</xdr:rowOff>
    </xdr:from>
    <xdr:to>
      <xdr:col>2</xdr:col>
      <xdr:colOff>706321</xdr:colOff>
      <xdr:row>11</xdr:row>
      <xdr:rowOff>857249</xdr:rowOff>
    </xdr:to>
    <xdr:pic>
      <xdr:nvPicPr>
        <xdr:cNvPr id="3" name="Picture 2" descr="A black background with a black square">
          <a:extLst>
            <a:ext uri="{FF2B5EF4-FFF2-40B4-BE49-F238E27FC236}">
              <a16:creationId xmlns:a16="http://schemas.microsoft.com/office/drawing/2014/main" id="{93DF7977-5C24-4A6F-05F1-221FF0F06A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68583" y="2962149"/>
          <a:ext cx="642821" cy="646767"/>
        </a:xfrm>
        <a:prstGeom prst="rect">
          <a:avLst/>
        </a:prstGeom>
      </xdr:spPr>
    </xdr:pic>
    <xdr:clientData/>
  </xdr:twoCellAnchor>
  <xdr:twoCellAnchor editAs="oneCell">
    <xdr:from>
      <xdr:col>2</xdr:col>
      <xdr:colOff>68427</xdr:colOff>
      <xdr:row>12</xdr:row>
      <xdr:rowOff>112183</xdr:rowOff>
    </xdr:from>
    <xdr:to>
      <xdr:col>2</xdr:col>
      <xdr:colOff>692832</xdr:colOff>
      <xdr:row>12</xdr:row>
      <xdr:rowOff>754592</xdr:rowOff>
    </xdr:to>
    <xdr:pic>
      <xdr:nvPicPr>
        <xdr:cNvPr id="4" name="Picture 3">
          <a:extLst>
            <a:ext uri="{FF2B5EF4-FFF2-40B4-BE49-F238E27FC236}">
              <a16:creationId xmlns:a16="http://schemas.microsoft.com/office/drawing/2014/main" id="{00000000-0008-0000-0300-000032030000}"/>
            </a:ext>
          </a:extLst>
        </xdr:cNvPr>
        <xdr:cNvPicPr>
          <a:picLocks noChangeAspect="1"/>
        </xdr:cNvPicPr>
      </xdr:nvPicPr>
      <xdr:blipFill>
        <a:blip xmlns:r="http://schemas.openxmlformats.org/officeDocument/2006/relationships" r:embed="rId2" cstate="print">
          <a:biLevel thresh="75000"/>
          <a:extLst>
            <a:ext uri="{28A0092B-C50C-407E-A947-70E740481C1C}">
              <a14:useLocalDpi xmlns:a14="http://schemas.microsoft.com/office/drawing/2010/main" val="0"/>
            </a:ext>
          </a:extLst>
        </a:blip>
        <a:stretch>
          <a:fillRect/>
        </a:stretch>
      </xdr:blipFill>
      <xdr:spPr>
        <a:xfrm>
          <a:off x="6873510" y="3805766"/>
          <a:ext cx="630755" cy="636059"/>
        </a:xfrm>
        <a:prstGeom prst="rect">
          <a:avLst/>
        </a:prstGeom>
      </xdr:spPr>
    </xdr:pic>
    <xdr:clientData/>
  </xdr:twoCellAnchor>
  <xdr:twoCellAnchor editAs="oneCell">
    <xdr:from>
      <xdr:col>2</xdr:col>
      <xdr:colOff>42333</xdr:colOff>
      <xdr:row>15</xdr:row>
      <xdr:rowOff>254000</xdr:rowOff>
    </xdr:from>
    <xdr:to>
      <xdr:col>2</xdr:col>
      <xdr:colOff>735542</xdr:colOff>
      <xdr:row>15</xdr:row>
      <xdr:rowOff>977900</xdr:rowOff>
    </xdr:to>
    <xdr:pic>
      <xdr:nvPicPr>
        <xdr:cNvPr id="2" name="Picture 1">
          <a:extLst>
            <a:ext uri="{FF2B5EF4-FFF2-40B4-BE49-F238E27FC236}">
              <a16:creationId xmlns:a16="http://schemas.microsoft.com/office/drawing/2014/main" id="{F3856341-EADA-CE61-0D4D-954C8BADB7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47416" y="5810250"/>
          <a:ext cx="71225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10583</xdr:colOff>
      <xdr:row>16</xdr:row>
      <xdr:rowOff>338666</xdr:rowOff>
    </xdr:from>
    <xdr:to>
      <xdr:col>2</xdr:col>
      <xdr:colOff>722842</xdr:colOff>
      <xdr:row>16</xdr:row>
      <xdr:rowOff>1056216</xdr:rowOff>
    </xdr:to>
    <xdr:pic>
      <xdr:nvPicPr>
        <xdr:cNvPr id="8" name="Picture 7">
          <a:extLst>
            <a:ext uri="{FF2B5EF4-FFF2-40B4-BE49-F238E27FC236}">
              <a16:creationId xmlns:a16="http://schemas.microsoft.com/office/drawing/2014/main" id="{419F1615-BAD5-79ED-4D86-6E863CD6E1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15666" y="7302499"/>
          <a:ext cx="71225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31750</xdr:colOff>
      <xdr:row>17</xdr:row>
      <xdr:rowOff>254000</xdr:rowOff>
    </xdr:from>
    <xdr:to>
      <xdr:col>3</xdr:col>
      <xdr:colOff>1059</xdr:colOff>
      <xdr:row>17</xdr:row>
      <xdr:rowOff>977900</xdr:rowOff>
    </xdr:to>
    <xdr:pic>
      <xdr:nvPicPr>
        <xdr:cNvPr id="9" name="Picture 8">
          <a:extLst>
            <a:ext uri="{FF2B5EF4-FFF2-40B4-BE49-F238E27FC236}">
              <a16:creationId xmlns:a16="http://schemas.microsoft.com/office/drawing/2014/main" id="{9BCB2B34-CA49-867D-F31C-191347E20A0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836833" y="8625417"/>
          <a:ext cx="71225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4995333</xdr:colOff>
      <xdr:row>18</xdr:row>
      <xdr:rowOff>296333</xdr:rowOff>
    </xdr:from>
    <xdr:to>
      <xdr:col>2</xdr:col>
      <xdr:colOff>701676</xdr:colOff>
      <xdr:row>18</xdr:row>
      <xdr:rowOff>1020233</xdr:rowOff>
    </xdr:to>
    <xdr:pic>
      <xdr:nvPicPr>
        <xdr:cNvPr id="11" name="Picture 10">
          <a:extLst>
            <a:ext uri="{FF2B5EF4-FFF2-40B4-BE49-F238E27FC236}">
              <a16:creationId xmlns:a16="http://schemas.microsoft.com/office/drawing/2014/main" id="{52727F88-35D2-977D-12E6-C1798149440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794500" y="10075333"/>
          <a:ext cx="71225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52916</xdr:colOff>
      <xdr:row>21</xdr:row>
      <xdr:rowOff>254000</xdr:rowOff>
    </xdr:from>
    <xdr:to>
      <xdr:col>2</xdr:col>
      <xdr:colOff>733425</xdr:colOff>
      <xdr:row>22</xdr:row>
      <xdr:rowOff>1360</xdr:rowOff>
    </xdr:to>
    <xdr:pic>
      <xdr:nvPicPr>
        <xdr:cNvPr id="13" name="Picture 12">
          <a:extLst>
            <a:ext uri="{FF2B5EF4-FFF2-40B4-BE49-F238E27FC236}">
              <a16:creationId xmlns:a16="http://schemas.microsoft.com/office/drawing/2014/main" id="{72012D84-D2F9-FAFC-83EA-A0EF5EFDEF6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857999" y="13493750"/>
          <a:ext cx="71225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715434</xdr:colOff>
      <xdr:row>22</xdr:row>
      <xdr:rowOff>723900</xdr:rowOff>
    </xdr:to>
    <xdr:pic>
      <xdr:nvPicPr>
        <xdr:cNvPr id="14" name="Picture 13">
          <a:extLst>
            <a:ext uri="{FF2B5EF4-FFF2-40B4-BE49-F238E27FC236}">
              <a16:creationId xmlns:a16="http://schemas.microsoft.com/office/drawing/2014/main" id="{3F53D48D-B0FD-F7F5-86CB-7E908066ACA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794500" y="14700250"/>
          <a:ext cx="71755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xdr:row>
      <xdr:rowOff>0</xdr:rowOff>
    </xdr:from>
    <xdr:to>
      <xdr:col>2</xdr:col>
      <xdr:colOff>715434</xdr:colOff>
      <xdr:row>23</xdr:row>
      <xdr:rowOff>723900</xdr:rowOff>
    </xdr:to>
    <xdr:pic>
      <xdr:nvPicPr>
        <xdr:cNvPr id="15" name="Picture 14">
          <a:extLst>
            <a:ext uri="{FF2B5EF4-FFF2-40B4-BE49-F238E27FC236}">
              <a16:creationId xmlns:a16="http://schemas.microsoft.com/office/drawing/2014/main" id="{EB211494-D52D-69CA-7B9A-F820265F9A1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794500" y="15640050"/>
          <a:ext cx="71755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24</xdr:row>
      <xdr:rowOff>0</xdr:rowOff>
    </xdr:from>
    <xdr:to>
      <xdr:col>2</xdr:col>
      <xdr:colOff>715434</xdr:colOff>
      <xdr:row>24</xdr:row>
      <xdr:rowOff>723900</xdr:rowOff>
    </xdr:to>
    <xdr:pic>
      <xdr:nvPicPr>
        <xdr:cNvPr id="16" name="Picture 15">
          <a:extLst>
            <a:ext uri="{FF2B5EF4-FFF2-40B4-BE49-F238E27FC236}">
              <a16:creationId xmlns:a16="http://schemas.microsoft.com/office/drawing/2014/main" id="{E982F206-3263-7EF0-4CD2-6E1ED373D9F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794500" y="16459200"/>
          <a:ext cx="71755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712259</xdr:colOff>
      <xdr:row>10</xdr:row>
      <xdr:rowOff>723900</xdr:rowOff>
    </xdr:to>
    <xdr:pic>
      <xdr:nvPicPr>
        <xdr:cNvPr id="17" name="Picture 16">
          <a:extLst>
            <a:ext uri="{FF2B5EF4-FFF2-40B4-BE49-F238E27FC236}">
              <a16:creationId xmlns:a16="http://schemas.microsoft.com/office/drawing/2014/main" id="{78F8B3F6-86BE-44A1-941D-D11246D8E7C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805083" y="1809750"/>
          <a:ext cx="71860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476250</xdr:rowOff>
    </xdr:from>
    <xdr:to>
      <xdr:col>2</xdr:col>
      <xdr:colOff>712259</xdr:colOff>
      <xdr:row>19</xdr:row>
      <xdr:rowOff>1200150</xdr:rowOff>
    </xdr:to>
    <xdr:pic>
      <xdr:nvPicPr>
        <xdr:cNvPr id="20" name="Picture 19">
          <a:extLst>
            <a:ext uri="{FF2B5EF4-FFF2-40B4-BE49-F238E27FC236}">
              <a16:creationId xmlns:a16="http://schemas.microsoft.com/office/drawing/2014/main" id="{782A3C23-6C10-64B9-206D-7D736D8BB116}"/>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805083" y="11662833"/>
          <a:ext cx="712259"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457200</xdr:colOff>
      <xdr:row>35</xdr:row>
      <xdr:rowOff>95250</xdr:rowOff>
    </xdr:to>
    <xdr:pic>
      <xdr:nvPicPr>
        <xdr:cNvPr id="2" name="Graphic 1">
          <a:extLst>
            <a:ext uri="{FF2B5EF4-FFF2-40B4-BE49-F238E27FC236}">
              <a16:creationId xmlns:a16="http://schemas.microsoft.com/office/drawing/2014/main" id="{52AAEE95-3BD1-4690-8DE0-68FB5085D1B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1430000" cy="64293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research.local.gov.uk/jfe/form/SV_1Us6GaeIP0D3YDs" TargetMode="External"/><Relationship Id="rId3" Type="http://schemas.openxmlformats.org/officeDocument/2006/relationships/hyperlink" Target="https://e-sd.org/M6BTF/" TargetMode="External"/><Relationship Id="rId7" Type="http://schemas.openxmlformats.org/officeDocument/2006/relationships/hyperlink" Target="https://research.local.gov.uk/jfe/form/SV_1YNclrDTOaJ24Fo" TargetMode="External"/><Relationship Id="rId2" Type="http://schemas.openxmlformats.org/officeDocument/2006/relationships/hyperlink" Target="mailto:pchdata@local.gov.uk" TargetMode="External"/><Relationship Id="rId1" Type="http://schemas.openxmlformats.org/officeDocument/2006/relationships/hyperlink" Target="mailto:pchdata@local.gov.uk" TargetMode="External"/><Relationship Id="rId6" Type="http://schemas.openxmlformats.org/officeDocument/2006/relationships/hyperlink" Target="https://www.flaticon.com/" TargetMode="External"/><Relationship Id="rId5" Type="http://schemas.openxmlformats.org/officeDocument/2006/relationships/hyperlink" Target="https://www.freepik.com/app" TargetMode="External"/><Relationship Id="rId4" Type="http://schemas.openxmlformats.org/officeDocument/2006/relationships/hyperlink" Target="https://developertools.esd.org.uk/data?metricType=173,175,106,3287&amp;area=AllSingleTierAndCountyLaInCountry_England,E92000001,E92000001:ADASS&amp;period=latest,latest-10&amp;query2.metricType=%3c3326M/3281M*100.0N%3e,95,96,3155,3156,24773,24756,3324,3325,3323,3322,3326,1973,1974,1975&amp;query2.period=latest&amp;query3.metricType=13100&amp;query3.period=latest-2,latest-14&amp;query4.metricType=11494,11341,11343,11344,27414,11349,11351,11352,27416,11312,11313,10680&amp;query4.period=latest&amp;query5.metricType=11369&amp;query5.period=latest:2&amp;query6.metricType=7778,7068,11370,11371,11372,11373,24711,11374,6978,11375&amp;query6.period=latest&amp;query7.metricType=11376&amp;query7.period=latest:2&amp;query8.metricType=11534,11535,11530,11533,11359,11360,11497,11361,11362,19246,22284,19256,22280,22281,19282,19288,19289,19204,19283,25578,22285,22286,22288,22287,10668,27492,11107,10669,11169,10671,11168,10689,11170,27544&amp;query8.period=latest&amp;query9.metricType=11314&amp;query9.period=latest:2&amp;rowGrouping=are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killsforcare.org.uk/Adult-Social-Care-Workforce-Data/workforceintelligence/Reports-and-visualisations/National-information/The-State-of-report.aspx" TargetMode="External"/><Relationship Id="rId13" Type="http://schemas.openxmlformats.org/officeDocument/2006/relationships/drawing" Target="../drawings/drawing1.xml"/><Relationship Id="rId3" Type="http://schemas.openxmlformats.org/officeDocument/2006/relationships/hyperlink" Target="https://www.ons.gov.uk/census" TargetMode="External"/><Relationship Id="rId7" Type="http://schemas.openxmlformats.org/officeDocument/2006/relationships/hyperlink" Target="https://www.gov.uk/government/statistics/adult-social-care-activity-report-england-2024-to-2025" TargetMode="External"/><Relationship Id="rId12" Type="http://schemas.openxmlformats.org/officeDocument/2006/relationships/printerSettings" Target="../printerSettings/printerSettings1.bin"/><Relationship Id="rId2" Type="http://schemas.openxmlformats.org/officeDocument/2006/relationships/hyperlink" Target="https://www.ons.gov.uk/peoplepopulationandcommunity/healthandsocialcare/healthandlifeexpectancies" TargetMode="External"/><Relationship Id="rId1" Type="http://schemas.openxmlformats.org/officeDocument/2006/relationships/hyperlink" Target="https://www.ons.gov.uk/peoplepopulationandcommunity/populationandmigration/populationestimates/bulletins/annualmidyearpopulationestimates/latest" TargetMode="External"/><Relationship Id="rId6" Type="http://schemas.openxmlformats.org/officeDocument/2006/relationships/hyperlink" Target="https://www.gov.uk/government/statistics/local-authority-revenue-expenditure-and-financing-england-2024-to-2025-individual-local-authority-data-outturn" TargetMode="External"/><Relationship Id="rId11" Type="http://schemas.openxmlformats.org/officeDocument/2006/relationships/hyperlink" Target="https://www.carersuk.org/media/mfbmjbno/valuing_carers_uk_v3_web.pdf" TargetMode="External"/><Relationship Id="rId5" Type="http://schemas.openxmlformats.org/officeDocument/2006/relationships/hyperlink" Target="https://www.gov.uk/government/statistics/local-authority-revenue-expenditure-and-financing-england-2024-to-2025-individual-local-authority-data-outturn" TargetMode="External"/><Relationship Id="rId10" Type="http://schemas.openxmlformats.org/officeDocument/2006/relationships/hyperlink" Target="https://www.skillsforcare.org.uk/Adult-Social-Care-Workforce-Data/workforceintelligence/resources/Reports/National/The-state-of-the-adult-social-care-sector-and-workforce-in-England-2025.pdf" TargetMode="External"/><Relationship Id="rId4" Type="http://schemas.openxmlformats.org/officeDocument/2006/relationships/hyperlink" Target="https://www.cqc.org.uk/about-us/transparency/using-cqc-data" TargetMode="External"/><Relationship Id="rId9" Type="http://schemas.openxmlformats.org/officeDocument/2006/relationships/hyperlink" Target="https://www.gov.uk/government/statistics/measures-from-the-adult-social-care-outcomes-framework-england-2024-to-2025"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6" Type="http://schemas.openxmlformats.org/officeDocument/2006/relationships/hyperlink" Target="https://lginform.local.gov.uk/reports/lgastandard?mod-metric=11349" TargetMode="External"/><Relationship Id="rId21" Type="http://schemas.openxmlformats.org/officeDocument/2006/relationships/hyperlink" Target="https://lginform.local.gov.uk/reports/lgastandard?mod-metric=11494" TargetMode="External"/><Relationship Id="rId42" Type="http://schemas.openxmlformats.org/officeDocument/2006/relationships/hyperlink" Target="https://lginform.local.gov.uk/reports/lgastandard?mod-metric=6978" TargetMode="External"/><Relationship Id="rId47" Type="http://schemas.openxmlformats.org/officeDocument/2006/relationships/hyperlink" Target="https://lginform.local.gov.uk/reports/lgastandard?mod-metric=11530" TargetMode="External"/><Relationship Id="rId63" Type="http://schemas.openxmlformats.org/officeDocument/2006/relationships/hyperlink" Target="https://lginform.local.gov.uk/reports/lgastandard?mod-metric=19283" TargetMode="External"/><Relationship Id="rId68" Type="http://schemas.openxmlformats.org/officeDocument/2006/relationships/hyperlink" Target="https://lginform.local.gov.uk/reports/lgastandard?mod-metric=22287" TargetMode="External"/><Relationship Id="rId16" Type="http://schemas.openxmlformats.org/officeDocument/2006/relationships/hyperlink" Target="https://lginform.local.gov.uk/reports/lgastandard?mod-metric=3322" TargetMode="External"/><Relationship Id="rId11" Type="http://schemas.openxmlformats.org/officeDocument/2006/relationships/hyperlink" Target="https://lginform.local.gov.uk/reports/lgastandard?mod-metric=24773" TargetMode="External"/><Relationship Id="rId32" Type="http://schemas.openxmlformats.org/officeDocument/2006/relationships/hyperlink" Target="https://lginform.local.gov.uk/reports/lgastandard?mod-metric=10680" TargetMode="External"/><Relationship Id="rId37" Type="http://schemas.openxmlformats.org/officeDocument/2006/relationships/hyperlink" Target="https://lginform.local.gov.uk/reports/lgastandard?mod-metric=11371" TargetMode="External"/><Relationship Id="rId53" Type="http://schemas.openxmlformats.org/officeDocument/2006/relationships/hyperlink" Target="https://lginform.local.gov.uk/reports/lgastandard?mod-metric=11362" TargetMode="External"/><Relationship Id="rId58" Type="http://schemas.openxmlformats.org/officeDocument/2006/relationships/hyperlink" Target="https://lginform.local.gov.uk/reports/lgastandard?mod-metric=22281" TargetMode="External"/><Relationship Id="rId74" Type="http://schemas.openxmlformats.org/officeDocument/2006/relationships/hyperlink" Target="https://lginform.local.gov.uk/reports/lgastandard?mod-metric=10671" TargetMode="External"/><Relationship Id="rId79" Type="http://schemas.openxmlformats.org/officeDocument/2006/relationships/hyperlink" Target="https://lginform.local.gov.uk/reports/lgastandard?mod-metric=11314" TargetMode="External"/><Relationship Id="rId5" Type="http://schemas.openxmlformats.org/officeDocument/2006/relationships/hyperlink" Target="https://lginform.local.gov.uk/reports/lgastandard?mod-metric=3326" TargetMode="External"/><Relationship Id="rId61" Type="http://schemas.openxmlformats.org/officeDocument/2006/relationships/hyperlink" Target="https://lginform.local.gov.uk/reports/lgastandard?mod-metric=19289" TargetMode="External"/><Relationship Id="rId19" Type="http://schemas.openxmlformats.org/officeDocument/2006/relationships/hyperlink" Target="https://lginform.local.gov.uk/reports/lgastandard?mod-metric=1975" TargetMode="External"/><Relationship Id="rId14" Type="http://schemas.openxmlformats.org/officeDocument/2006/relationships/hyperlink" Target="https://lginform.local.gov.uk/reports/lgastandard?mod-metric=3325" TargetMode="External"/><Relationship Id="rId22" Type="http://schemas.openxmlformats.org/officeDocument/2006/relationships/hyperlink" Target="https://lginform.local.gov.uk/reports/lgastandard?mod-metric=11341" TargetMode="External"/><Relationship Id="rId27" Type="http://schemas.openxmlformats.org/officeDocument/2006/relationships/hyperlink" Target="https://lginform.local.gov.uk/reports/lgastandard?mod-metric=11351" TargetMode="External"/><Relationship Id="rId30" Type="http://schemas.openxmlformats.org/officeDocument/2006/relationships/hyperlink" Target="https://lginform.local.gov.uk/reports/lgastandard?mod-metric=11312" TargetMode="External"/><Relationship Id="rId35" Type="http://schemas.openxmlformats.org/officeDocument/2006/relationships/hyperlink" Target="https://lginform.local.gov.uk/reports/lgastandard?mod-metric=7068" TargetMode="External"/><Relationship Id="rId43" Type="http://schemas.openxmlformats.org/officeDocument/2006/relationships/hyperlink" Target="https://lginform.local.gov.uk/reports/lgastandard?mod-metric=11375" TargetMode="External"/><Relationship Id="rId48" Type="http://schemas.openxmlformats.org/officeDocument/2006/relationships/hyperlink" Target="https://lginform.local.gov.uk/reports/lgastandard?mod-metric=11533" TargetMode="External"/><Relationship Id="rId56" Type="http://schemas.openxmlformats.org/officeDocument/2006/relationships/hyperlink" Target="https://lginform.local.gov.uk/reports/lgastandard?mod-metric=19256" TargetMode="External"/><Relationship Id="rId64" Type="http://schemas.openxmlformats.org/officeDocument/2006/relationships/hyperlink" Target="https://lginform.local.gov.uk/reports/lgastandard?mod-metric=25578" TargetMode="External"/><Relationship Id="rId69" Type="http://schemas.openxmlformats.org/officeDocument/2006/relationships/hyperlink" Target="https://lginform.local.gov.uk/reports/lgastandard?mod-metric=10668" TargetMode="External"/><Relationship Id="rId77" Type="http://schemas.openxmlformats.org/officeDocument/2006/relationships/hyperlink" Target="https://lginform.local.gov.uk/reports/lgastandard?mod-metric=11170" TargetMode="External"/><Relationship Id="rId8" Type="http://schemas.openxmlformats.org/officeDocument/2006/relationships/hyperlink" Target="https://lginform.local.gov.uk/reports/lgastandard?mod-metric=96" TargetMode="External"/><Relationship Id="rId51" Type="http://schemas.openxmlformats.org/officeDocument/2006/relationships/hyperlink" Target="https://lginform.local.gov.uk/reports/lgastandard?mod-metric=11497" TargetMode="External"/><Relationship Id="rId72" Type="http://schemas.openxmlformats.org/officeDocument/2006/relationships/hyperlink" Target="https://lginform.local.gov.uk/reports/lgastandard?mod-metric=10669" TargetMode="External"/><Relationship Id="rId80" Type="http://schemas.openxmlformats.org/officeDocument/2006/relationships/hyperlink" Target="https://www.skillsforcare.org.uk/news-and-events/news/latest-social-care-sector-and-workforce-data-published" TargetMode="External"/><Relationship Id="rId3" Type="http://schemas.openxmlformats.org/officeDocument/2006/relationships/hyperlink" Target="https://lginform.local.gov.uk/reports/lgastandard?mod-metric=106" TargetMode="External"/><Relationship Id="rId12" Type="http://schemas.openxmlformats.org/officeDocument/2006/relationships/hyperlink" Target="https://lginform.local.gov.uk/reports/lgastandard?mod-metric=24756" TargetMode="External"/><Relationship Id="rId17" Type="http://schemas.openxmlformats.org/officeDocument/2006/relationships/hyperlink" Target="https://lginform.local.gov.uk/reports/lgastandard?mod-metric=1973" TargetMode="External"/><Relationship Id="rId25" Type="http://schemas.openxmlformats.org/officeDocument/2006/relationships/hyperlink" Target="https://lginform.local.gov.uk/reports/lgastandard?mod-metric=27414" TargetMode="External"/><Relationship Id="rId33" Type="http://schemas.openxmlformats.org/officeDocument/2006/relationships/hyperlink" Target="https://lginform.local.gov.uk/reports/lgastandard?mod-metric=11369" TargetMode="External"/><Relationship Id="rId38" Type="http://schemas.openxmlformats.org/officeDocument/2006/relationships/hyperlink" Target="https://lginform.local.gov.uk/reports/lgastandard?mod-metric=11372" TargetMode="External"/><Relationship Id="rId46" Type="http://schemas.openxmlformats.org/officeDocument/2006/relationships/hyperlink" Target="https://lginform.local.gov.uk/reports/lgastandard?mod-metric=11535" TargetMode="External"/><Relationship Id="rId59" Type="http://schemas.openxmlformats.org/officeDocument/2006/relationships/hyperlink" Target="https://lginform.local.gov.uk/reports/lgastandard?mod-metric=19282" TargetMode="External"/><Relationship Id="rId67" Type="http://schemas.openxmlformats.org/officeDocument/2006/relationships/hyperlink" Target="https://lginform.local.gov.uk/reports/lgastandard?mod-metric=22288" TargetMode="External"/><Relationship Id="rId20" Type="http://schemas.openxmlformats.org/officeDocument/2006/relationships/hyperlink" Target="https://lginform.local.gov.uk/reports/lgastandard?mod-metric=13100" TargetMode="External"/><Relationship Id="rId41" Type="http://schemas.openxmlformats.org/officeDocument/2006/relationships/hyperlink" Target="https://lginform.local.gov.uk/reports/lgastandard?mod-metric=11374" TargetMode="External"/><Relationship Id="rId54" Type="http://schemas.openxmlformats.org/officeDocument/2006/relationships/hyperlink" Target="https://lginform.local.gov.uk/reports/lgastandard?mod-metric=19246" TargetMode="External"/><Relationship Id="rId62" Type="http://schemas.openxmlformats.org/officeDocument/2006/relationships/hyperlink" Target="https://lginform.local.gov.uk/reports/lgastandard?mod-metric=19204" TargetMode="External"/><Relationship Id="rId70" Type="http://schemas.openxmlformats.org/officeDocument/2006/relationships/hyperlink" Target="https://lginform.local.gov.uk/reports/lgastandard?mod-metric=27492" TargetMode="External"/><Relationship Id="rId75" Type="http://schemas.openxmlformats.org/officeDocument/2006/relationships/hyperlink" Target="https://lginform.local.gov.uk/reports/lgastandard?mod-metric=11168" TargetMode="External"/><Relationship Id="rId1" Type="http://schemas.openxmlformats.org/officeDocument/2006/relationships/hyperlink" Target="https://lginform.local.gov.uk/reports/lgastandard?mod-metric=173" TargetMode="External"/><Relationship Id="rId6" Type="http://schemas.openxmlformats.org/officeDocument/2006/relationships/hyperlink" Target="https://lginform.local.gov.uk/reports/lgastandard?mod-metric=3281" TargetMode="External"/><Relationship Id="rId15" Type="http://schemas.openxmlformats.org/officeDocument/2006/relationships/hyperlink" Target="https://lginform.local.gov.uk/reports/lgastandard?mod-metric=3323" TargetMode="External"/><Relationship Id="rId23" Type="http://schemas.openxmlformats.org/officeDocument/2006/relationships/hyperlink" Target="https://lginform.local.gov.uk/reports/lgastandard?mod-metric=11343" TargetMode="External"/><Relationship Id="rId28" Type="http://schemas.openxmlformats.org/officeDocument/2006/relationships/hyperlink" Target="https://lginform.local.gov.uk/reports/lgastandard?mod-metric=11352" TargetMode="External"/><Relationship Id="rId36" Type="http://schemas.openxmlformats.org/officeDocument/2006/relationships/hyperlink" Target="https://lginform.local.gov.uk/reports/lgastandard?mod-metric=11370" TargetMode="External"/><Relationship Id="rId49" Type="http://schemas.openxmlformats.org/officeDocument/2006/relationships/hyperlink" Target="https://lginform.local.gov.uk/reports/lgastandard?mod-metric=11359" TargetMode="External"/><Relationship Id="rId57" Type="http://schemas.openxmlformats.org/officeDocument/2006/relationships/hyperlink" Target="https://lginform.local.gov.uk/reports/lgastandard?mod-metric=22280" TargetMode="External"/><Relationship Id="rId10" Type="http://schemas.openxmlformats.org/officeDocument/2006/relationships/hyperlink" Target="https://lginform.local.gov.uk/reports/lgastandard?mod-metric=3156" TargetMode="External"/><Relationship Id="rId31" Type="http://schemas.openxmlformats.org/officeDocument/2006/relationships/hyperlink" Target="https://lginform.local.gov.uk/reports/lgastandard?mod-metric=11313" TargetMode="External"/><Relationship Id="rId44" Type="http://schemas.openxmlformats.org/officeDocument/2006/relationships/hyperlink" Target="https://lginform.local.gov.uk/reports/lgastandard?mod-metric=11376" TargetMode="External"/><Relationship Id="rId52" Type="http://schemas.openxmlformats.org/officeDocument/2006/relationships/hyperlink" Target="https://lginform.local.gov.uk/reports/lgastandard?mod-metric=11361" TargetMode="External"/><Relationship Id="rId60" Type="http://schemas.openxmlformats.org/officeDocument/2006/relationships/hyperlink" Target="https://lginform.local.gov.uk/reports/lgastandard?mod-metric=19288" TargetMode="External"/><Relationship Id="rId65" Type="http://schemas.openxmlformats.org/officeDocument/2006/relationships/hyperlink" Target="https://lginform.local.gov.uk/reports/lgastandard?mod-metric=22285" TargetMode="External"/><Relationship Id="rId73" Type="http://schemas.openxmlformats.org/officeDocument/2006/relationships/hyperlink" Target="https://lginform.local.gov.uk/reports/lgastandard?mod-metric=11169" TargetMode="External"/><Relationship Id="rId78" Type="http://schemas.openxmlformats.org/officeDocument/2006/relationships/hyperlink" Target="https://lginform.local.gov.uk/reports/lgastandard?mod-metric=27544" TargetMode="External"/><Relationship Id="rId81" Type="http://schemas.openxmlformats.org/officeDocument/2006/relationships/hyperlink" Target="https://www.carersuk.org/press-releases/rising-numbers-of-unpaid-carers-say-they-need-more-support-from-the-nhs/" TargetMode="External"/><Relationship Id="rId4" Type="http://schemas.openxmlformats.org/officeDocument/2006/relationships/hyperlink" Target="https://lginform.local.gov.uk/reports/lgastandard?mod-metric=3287" TargetMode="External"/><Relationship Id="rId9" Type="http://schemas.openxmlformats.org/officeDocument/2006/relationships/hyperlink" Target="https://lginform.local.gov.uk/reports/lgastandard?mod-metric=3155" TargetMode="External"/><Relationship Id="rId13" Type="http://schemas.openxmlformats.org/officeDocument/2006/relationships/hyperlink" Target="https://lginform.local.gov.uk/reports/lgastandard?mod-metric=3324" TargetMode="External"/><Relationship Id="rId18" Type="http://schemas.openxmlformats.org/officeDocument/2006/relationships/hyperlink" Target="https://lginform.local.gov.uk/reports/lgastandard?mod-metric=1974" TargetMode="External"/><Relationship Id="rId39" Type="http://schemas.openxmlformats.org/officeDocument/2006/relationships/hyperlink" Target="https://lginform.local.gov.uk/reports/lgastandard?mod-metric=11373" TargetMode="External"/><Relationship Id="rId34" Type="http://schemas.openxmlformats.org/officeDocument/2006/relationships/hyperlink" Target="https://lginform.local.gov.uk/reports/lgastandard?mod-metric=7778" TargetMode="External"/><Relationship Id="rId50" Type="http://schemas.openxmlformats.org/officeDocument/2006/relationships/hyperlink" Target="https://lginform.local.gov.uk/reports/lgastandard?mod-metric=11360" TargetMode="External"/><Relationship Id="rId55" Type="http://schemas.openxmlformats.org/officeDocument/2006/relationships/hyperlink" Target="https://lginform.local.gov.uk/reports/lgastandard?mod-metric=22284" TargetMode="External"/><Relationship Id="rId76" Type="http://schemas.openxmlformats.org/officeDocument/2006/relationships/hyperlink" Target="https://lginform.local.gov.uk/reports/lgastandard?mod-metric=10689" TargetMode="External"/><Relationship Id="rId7" Type="http://schemas.openxmlformats.org/officeDocument/2006/relationships/hyperlink" Target="https://lginform.local.gov.uk/reports/lgastandard?mod-metric=95" TargetMode="External"/><Relationship Id="rId71" Type="http://schemas.openxmlformats.org/officeDocument/2006/relationships/hyperlink" Target="https://lginform.local.gov.uk/reports/lgastandard?mod-metric=11107" TargetMode="External"/><Relationship Id="rId2" Type="http://schemas.openxmlformats.org/officeDocument/2006/relationships/hyperlink" Target="https://lginform.local.gov.uk/reports/lgastandard?mod-metric=175" TargetMode="External"/><Relationship Id="rId29" Type="http://schemas.openxmlformats.org/officeDocument/2006/relationships/hyperlink" Target="https://lginform.local.gov.uk/reports/lgastandard?mod-metric=27416" TargetMode="External"/><Relationship Id="rId24" Type="http://schemas.openxmlformats.org/officeDocument/2006/relationships/hyperlink" Target="https://lginform.local.gov.uk/reports/lgastandard?mod-metric=11344" TargetMode="External"/><Relationship Id="rId40" Type="http://schemas.openxmlformats.org/officeDocument/2006/relationships/hyperlink" Target="https://lginform.local.gov.uk/reports/lgastandard?mod-metric=24711" TargetMode="External"/><Relationship Id="rId45" Type="http://schemas.openxmlformats.org/officeDocument/2006/relationships/hyperlink" Target="https://lginform.local.gov.uk/reports/lgastandard?mod-metric=11534" TargetMode="External"/><Relationship Id="rId66" Type="http://schemas.openxmlformats.org/officeDocument/2006/relationships/hyperlink" Target="https://lginform.local.gov.uk/reports/lgastandard?mod-metric=22286"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66A78-102A-4542-86F9-A3D0CC4401FE}">
  <sheetPr codeName="Sheet1"/>
  <dimension ref="A2:H33"/>
  <sheetViews>
    <sheetView topLeftCell="A11" workbookViewId="0">
      <selection activeCell="C27" sqref="C27"/>
    </sheetView>
  </sheetViews>
  <sheetFormatPr defaultColWidth="0" defaultRowHeight="14"/>
  <cols>
    <col min="1" max="1" width="8.7265625" style="122" customWidth="1"/>
    <col min="2" max="2" width="20.453125" style="122" bestFit="1" customWidth="1"/>
    <col min="3" max="3" width="39" style="122" bestFit="1" customWidth="1"/>
    <col min="4" max="8" width="8.7265625" style="122" customWidth="1"/>
    <col min="9" max="16384" width="8.7265625" style="122" hidden="1"/>
  </cols>
  <sheetData>
    <row r="2" spans="2:7" ht="30">
      <c r="B2" s="125" t="s">
        <v>719</v>
      </c>
    </row>
    <row r="3" spans="2:7" ht="14.5" thickBot="1"/>
    <row r="4" spans="2:7" ht="14.5" thickBot="1">
      <c r="B4" s="133" t="s">
        <v>718</v>
      </c>
      <c r="C4" s="124" t="s">
        <v>338</v>
      </c>
    </row>
    <row r="5" spans="2:7" ht="14.5" thickBot="1">
      <c r="B5" s="134"/>
    </row>
    <row r="6" spans="2:7" ht="238" customHeight="1" thickBot="1">
      <c r="B6" s="133" t="s">
        <v>1</v>
      </c>
      <c r="C6" s="209" t="s">
        <v>736</v>
      </c>
      <c r="D6" s="210"/>
      <c r="E6" s="210"/>
      <c r="F6" s="210"/>
      <c r="G6" s="211"/>
    </row>
    <row r="7" spans="2:7" ht="14.5" thickBot="1">
      <c r="B7" s="134"/>
      <c r="C7" s="123"/>
    </row>
    <row r="8" spans="2:7" ht="256" customHeight="1" thickBot="1">
      <c r="B8" s="133" t="s">
        <v>727</v>
      </c>
      <c r="C8" s="209" t="s">
        <v>735</v>
      </c>
      <c r="D8" s="210"/>
      <c r="E8" s="210"/>
      <c r="F8" s="210"/>
      <c r="G8" s="211"/>
    </row>
    <row r="9" spans="2:7" ht="14.5" thickBot="1">
      <c r="B9" s="133" t="s">
        <v>734</v>
      </c>
      <c r="C9" s="206" t="s">
        <v>733</v>
      </c>
      <c r="D9" s="207"/>
      <c r="E9" s="207"/>
      <c r="F9" s="207"/>
      <c r="G9" s="208"/>
    </row>
    <row r="10" spans="2:7" ht="15" thickBot="1">
      <c r="B10" s="134"/>
      <c r="C10" s="127"/>
    </row>
    <row r="11" spans="2:7" ht="204.5" customHeight="1" thickBot="1">
      <c r="B11" s="133" t="s">
        <v>707</v>
      </c>
      <c r="C11" s="209" t="s">
        <v>754</v>
      </c>
      <c r="D11" s="210"/>
      <c r="E11" s="210"/>
      <c r="F11" s="210"/>
      <c r="G11" s="211"/>
    </row>
    <row r="12" spans="2:7" ht="14.5" thickBot="1">
      <c r="B12" s="134"/>
      <c r="C12" s="123"/>
    </row>
    <row r="13" spans="2:7" ht="55.5" customHeight="1" thickBot="1">
      <c r="B13" s="135" t="s">
        <v>720</v>
      </c>
      <c r="C13" s="212" t="s">
        <v>724</v>
      </c>
      <c r="D13" s="212"/>
      <c r="E13" s="212"/>
      <c r="F13" s="212"/>
      <c r="G13" s="213"/>
    </row>
    <row r="14" spans="2:7" ht="14.5" customHeight="1" thickBot="1">
      <c r="B14" s="136"/>
      <c r="C14" s="214" t="s">
        <v>737</v>
      </c>
      <c r="D14" s="215"/>
      <c r="E14" s="215"/>
      <c r="F14" s="215"/>
      <c r="G14" s="216"/>
    </row>
    <row r="15" spans="2:7" ht="14.5" thickBot="1">
      <c r="B15" s="134"/>
    </row>
    <row r="16" spans="2:7" ht="14.5" thickBot="1">
      <c r="B16" s="133" t="s">
        <v>721</v>
      </c>
      <c r="C16" s="201" t="s">
        <v>722</v>
      </c>
      <c r="D16" s="202"/>
      <c r="E16" s="202"/>
      <c r="F16" s="202"/>
      <c r="G16" s="203"/>
    </row>
    <row r="17" spans="2:7" ht="14.5" thickBot="1">
      <c r="B17" s="134"/>
    </row>
    <row r="18" spans="2:7" ht="14.5" thickBot="1">
      <c r="B18" s="133" t="s">
        <v>723</v>
      </c>
      <c r="C18" s="204">
        <v>46091</v>
      </c>
      <c r="D18" s="204"/>
      <c r="E18" s="204"/>
      <c r="F18" s="204"/>
      <c r="G18" s="205"/>
    </row>
    <row r="19" spans="2:7" ht="14.5" thickBot="1">
      <c r="B19" s="134"/>
    </row>
    <row r="20" spans="2:7" ht="14.5" thickBot="1">
      <c r="B20" s="133" t="s">
        <v>725</v>
      </c>
      <c r="C20" s="206" t="s">
        <v>728</v>
      </c>
      <c r="D20" s="207"/>
      <c r="E20" s="207"/>
      <c r="F20" s="207"/>
      <c r="G20" s="208"/>
    </row>
    <row r="21" spans="2:7" ht="14.5" thickBot="1">
      <c r="B21" s="134"/>
    </row>
    <row r="22" spans="2:7" ht="14.5" thickBot="1">
      <c r="B22" s="190" t="s">
        <v>726</v>
      </c>
      <c r="C22" s="130" t="s">
        <v>738</v>
      </c>
      <c r="D22" s="193" t="s">
        <v>739</v>
      </c>
      <c r="E22" s="193"/>
      <c r="F22" s="193"/>
      <c r="G22" s="194"/>
    </row>
    <row r="23" spans="2:7" ht="14.5" customHeight="1">
      <c r="B23" s="191"/>
      <c r="C23" s="131" t="s">
        <v>740</v>
      </c>
      <c r="D23" s="195" t="s">
        <v>741</v>
      </c>
      <c r="E23" s="195"/>
      <c r="F23" s="195"/>
      <c r="G23" s="196"/>
    </row>
    <row r="24" spans="2:7" ht="14.5" customHeight="1">
      <c r="B24" s="191"/>
      <c r="C24" s="131" t="s">
        <v>742</v>
      </c>
      <c r="D24" s="197" t="s">
        <v>743</v>
      </c>
      <c r="E24" s="197"/>
      <c r="F24" s="197"/>
      <c r="G24" s="198"/>
    </row>
    <row r="25" spans="2:7" ht="28.5" customHeight="1">
      <c r="B25" s="191"/>
      <c r="C25" s="131" t="s">
        <v>742</v>
      </c>
      <c r="D25" s="197" t="s">
        <v>744</v>
      </c>
      <c r="E25" s="197"/>
      <c r="F25" s="197"/>
      <c r="G25" s="198"/>
    </row>
    <row r="26" spans="2:7" ht="28">
      <c r="B26" s="191"/>
      <c r="C26" s="131" t="s">
        <v>745</v>
      </c>
      <c r="D26" s="197" t="s">
        <v>746</v>
      </c>
      <c r="E26" s="197"/>
      <c r="F26" s="197"/>
      <c r="G26" s="198"/>
    </row>
    <row r="27" spans="2:7" ht="28">
      <c r="B27" s="191"/>
      <c r="C27" s="131" t="s">
        <v>745</v>
      </c>
      <c r="D27" s="197" t="s">
        <v>747</v>
      </c>
      <c r="E27" s="197"/>
      <c r="F27" s="197"/>
      <c r="G27" s="198"/>
    </row>
    <row r="28" spans="2:7" ht="14.5" customHeight="1">
      <c r="B28" s="191"/>
      <c r="C28" s="131" t="s">
        <v>748</v>
      </c>
      <c r="D28" s="197" t="s">
        <v>749</v>
      </c>
      <c r="E28" s="197"/>
      <c r="F28" s="197"/>
      <c r="G28" s="198"/>
    </row>
    <row r="29" spans="2:7" ht="14.5" customHeight="1">
      <c r="B29" s="191"/>
      <c r="C29" s="131" t="s">
        <v>748</v>
      </c>
      <c r="D29" s="197" t="s">
        <v>750</v>
      </c>
      <c r="E29" s="197"/>
      <c r="F29" s="197"/>
      <c r="G29" s="198"/>
    </row>
    <row r="30" spans="2:7" ht="14.5" customHeight="1">
      <c r="B30" s="191"/>
      <c r="C30" s="131" t="s">
        <v>748</v>
      </c>
      <c r="D30" s="197" t="s">
        <v>751</v>
      </c>
      <c r="E30" s="197"/>
      <c r="F30" s="197"/>
      <c r="G30" s="198"/>
    </row>
    <row r="31" spans="2:7" ht="15" customHeight="1" thickBot="1">
      <c r="B31" s="191"/>
      <c r="C31" s="132" t="s">
        <v>752</v>
      </c>
      <c r="D31" s="199" t="s">
        <v>753</v>
      </c>
      <c r="E31" s="199"/>
      <c r="F31" s="199"/>
      <c r="G31" s="200"/>
    </row>
    <row r="32" spans="2:7" ht="14.5" customHeight="1">
      <c r="B32" s="191"/>
      <c r="C32" s="186" t="s">
        <v>939</v>
      </c>
      <c r="D32" s="186"/>
      <c r="E32" s="186"/>
      <c r="F32" s="186"/>
      <c r="G32" s="187"/>
    </row>
    <row r="33" spans="2:7" ht="14.5" customHeight="1" thickBot="1">
      <c r="B33" s="192"/>
      <c r="C33" s="188"/>
      <c r="D33" s="188"/>
      <c r="E33" s="188"/>
      <c r="F33" s="188"/>
      <c r="G33" s="189"/>
    </row>
  </sheetData>
  <mergeCells count="21">
    <mergeCell ref="C16:G16"/>
    <mergeCell ref="C18:G18"/>
    <mergeCell ref="C20:G20"/>
    <mergeCell ref="C8:G8"/>
    <mergeCell ref="C6:G6"/>
    <mergeCell ref="C11:G11"/>
    <mergeCell ref="C13:G13"/>
    <mergeCell ref="C14:G14"/>
    <mergeCell ref="C9:G9"/>
    <mergeCell ref="C32:G33"/>
    <mergeCell ref="B22:B33"/>
    <mergeCell ref="D22:G22"/>
    <mergeCell ref="D23:G23"/>
    <mergeCell ref="D24:G24"/>
    <mergeCell ref="D25:G25"/>
    <mergeCell ref="D26:G26"/>
    <mergeCell ref="D27:G27"/>
    <mergeCell ref="D28:G28"/>
    <mergeCell ref="D29:G29"/>
    <mergeCell ref="D30:G30"/>
    <mergeCell ref="D31:G31"/>
  </mergeCells>
  <conditionalFormatting sqref="D22:D31">
    <cfRule type="duplicateValues" dxfId="4" priority="1"/>
  </conditionalFormatting>
  <hyperlinks>
    <hyperlink ref="C16" r:id="rId1" xr:uid="{7D3E0552-9ED1-4FC8-A4CC-6FE6B5F79D47}"/>
    <hyperlink ref="C18" r:id="rId2" display="pchdata@local.gov.uk" xr:uid="{0F0AF38A-8C96-4F07-AF0A-45692195DFB3}"/>
    <hyperlink ref="C20" r:id="rId3" display="https://e-sd.org/M6BTF/" xr:uid="{79D448C2-6A98-4CBE-9D1E-DE9255661FFC}"/>
    <hyperlink ref="C20:G20" r:id="rId4" display="Click Here" xr:uid="{F64F9A10-B331-4DDB-AA33-053A52C52D99}"/>
    <hyperlink ref="C9" r:id="rId5" xr:uid="{5BFAE35B-6AB3-46AF-828B-41848D4B2359}"/>
    <hyperlink ref="C9:G9" r:id="rId6" display="Freepik Icon Database" xr:uid="{5AECA88E-36C4-4967-A837-E72B90983074}"/>
    <hyperlink ref="C14" r:id="rId7" display="https://research.local.gov.uk/jfe/form/SV_1YNclrDTOaJ24Fo" xr:uid="{BEEF1C31-7899-4B3B-980A-DC5AF17AFB44}"/>
    <hyperlink ref="C14:G14" r:id="rId8" display="Feedback Survey" xr:uid="{73191DEA-E786-4E5B-AACD-CB8F83FF8757}"/>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CB01E296-0000-4911-8305-36C34F9C50C5}">
          <x14:formula1>
            <xm:f>Datasheet!$A$7:$A$160</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0B80B-2959-436F-9FAE-C51C6FBC8FF7}">
  <dimension ref="A1:T145"/>
  <sheetViews>
    <sheetView tabSelected="1" view="pageBreakPreview" zoomScale="90" zoomScaleNormal="28" zoomScaleSheetLayoutView="90" zoomScalePageLayoutView="14" workbookViewId="0">
      <selection activeCell="L102" sqref="L102"/>
    </sheetView>
  </sheetViews>
  <sheetFormatPr defaultRowHeight="14"/>
  <cols>
    <col min="1" max="16384" width="8.7265625" style="31"/>
  </cols>
  <sheetData>
    <row r="1" spans="1:20" ht="14.5" customHeight="1">
      <c r="A1" s="28"/>
      <c r="B1" s="174" t="str">
        <f>Need!K2</f>
        <v>Need</v>
      </c>
      <c r="C1" s="174"/>
      <c r="D1" s="174"/>
      <c r="E1" s="174"/>
      <c r="F1" s="174"/>
      <c r="G1" s="174"/>
      <c r="H1" s="174"/>
      <c r="I1" s="174"/>
      <c r="J1" s="39"/>
      <c r="K1" s="30"/>
      <c r="L1" s="163" t="str">
        <f>Workforce!K2</f>
        <v>Workforce</v>
      </c>
      <c r="M1" s="163"/>
      <c r="N1" s="163"/>
      <c r="O1" s="163"/>
      <c r="P1" s="163"/>
      <c r="Q1" s="163"/>
      <c r="R1" s="163"/>
      <c r="S1" s="163"/>
      <c r="T1" s="30"/>
    </row>
    <row r="2" spans="1:20" ht="14.5" customHeight="1">
      <c r="A2" s="28"/>
      <c r="B2" s="174"/>
      <c r="C2" s="174"/>
      <c r="D2" s="174"/>
      <c r="E2" s="174"/>
      <c r="F2" s="174"/>
      <c r="G2" s="174"/>
      <c r="H2" s="174"/>
      <c r="I2" s="174"/>
      <c r="J2" s="39"/>
      <c r="K2" s="30"/>
      <c r="L2" s="163"/>
      <c r="M2" s="163"/>
      <c r="N2" s="163"/>
      <c r="O2" s="163"/>
      <c r="P2" s="163"/>
      <c r="Q2" s="163"/>
      <c r="R2" s="163"/>
      <c r="S2" s="163"/>
      <c r="T2" s="30"/>
    </row>
    <row r="3" spans="1:20" ht="14" customHeight="1">
      <c r="A3" s="28"/>
      <c r="B3" s="38"/>
      <c r="C3" s="38"/>
      <c r="D3" s="38"/>
      <c r="E3" s="38"/>
      <c r="F3" s="105"/>
      <c r="G3" s="105"/>
      <c r="H3" s="105"/>
      <c r="I3" s="105"/>
      <c r="J3" s="106"/>
      <c r="K3" s="30"/>
      <c r="L3" s="30"/>
      <c r="M3" s="30"/>
      <c r="N3" s="30"/>
      <c r="O3" s="30"/>
      <c r="P3" s="30"/>
      <c r="Q3" s="30"/>
      <c r="R3" s="30"/>
      <c r="S3" s="30"/>
      <c r="T3" s="30"/>
    </row>
    <row r="4" spans="1:20" ht="14.5">
      <c r="A4" s="28"/>
      <c r="B4" s="38"/>
      <c r="C4" s="38"/>
      <c r="D4" s="38"/>
      <c r="E4" s="39"/>
      <c r="F4" s="38"/>
      <c r="G4" s="38"/>
      <c r="H4" s="38"/>
      <c r="I4" s="38"/>
      <c r="J4" s="107"/>
      <c r="K4" s="30"/>
      <c r="L4" s="30"/>
      <c r="M4" s="30"/>
      <c r="N4" s="30"/>
      <c r="O4" s="30"/>
      <c r="P4" s="30"/>
      <c r="Q4" s="30"/>
      <c r="R4" s="30"/>
      <c r="S4" s="30"/>
      <c r="T4" s="30"/>
    </row>
    <row r="5" spans="1:20" ht="14.5" customHeight="1">
      <c r="A5" s="33"/>
      <c r="B5" s="177"/>
      <c r="C5" s="177"/>
      <c r="D5" s="177"/>
      <c r="E5" s="39"/>
      <c r="F5" s="175" t="str">
        <f>Need!B12</f>
        <v>Around 536,000 (69%) are aged 18-64</v>
      </c>
      <c r="G5" s="175"/>
      <c r="H5" s="175"/>
      <c r="I5" s="175"/>
      <c r="J5" s="176"/>
      <c r="K5" s="30"/>
      <c r="L5" s="30"/>
      <c r="M5" s="30"/>
      <c r="N5" s="30"/>
      <c r="O5" s="30"/>
      <c r="P5" s="30"/>
      <c r="Q5" s="30"/>
      <c r="R5" s="30"/>
      <c r="S5" s="30"/>
      <c r="T5" s="30"/>
    </row>
    <row r="6" spans="1:20" ht="14.5" customHeight="1">
      <c r="A6" s="34"/>
      <c r="B6" s="177"/>
      <c r="C6" s="177"/>
      <c r="D6" s="177"/>
      <c r="E6" s="39"/>
      <c r="F6" s="38"/>
      <c r="G6" s="38"/>
      <c r="H6" s="38"/>
      <c r="I6" s="38"/>
      <c r="J6" s="39"/>
      <c r="K6" s="162" t="str">
        <f>Workforce!B13</f>
        <v>The ASC sector in Norfolk has 23,500 employees as of 2024/25</v>
      </c>
      <c r="L6" s="162"/>
      <c r="M6" s="162"/>
      <c r="N6" s="162"/>
      <c r="O6" s="162"/>
      <c r="P6" s="162"/>
      <c r="Q6" s="30"/>
      <c r="R6" s="30"/>
      <c r="S6" s="30"/>
      <c r="T6" s="30"/>
    </row>
    <row r="7" spans="1:20" ht="14.5" customHeight="1">
      <c r="A7" s="35"/>
      <c r="B7" s="177"/>
      <c r="C7" s="177"/>
      <c r="D7" s="177"/>
      <c r="E7" s="39"/>
      <c r="F7" s="175" t="str">
        <f>Need!B13</f>
        <v>Around 240,000 (31%) are aged 65 and over</v>
      </c>
      <c r="G7" s="175"/>
      <c r="H7" s="175"/>
      <c r="I7" s="175"/>
      <c r="J7" s="176"/>
      <c r="K7" s="162"/>
      <c r="L7" s="162"/>
      <c r="M7" s="162"/>
      <c r="N7" s="162"/>
      <c r="O7" s="162"/>
      <c r="P7" s="162"/>
      <c r="Q7" s="104"/>
      <c r="R7" s="30"/>
      <c r="S7" s="30"/>
      <c r="T7" s="30"/>
    </row>
    <row r="8" spans="1:20" ht="14" customHeight="1">
      <c r="A8" s="28"/>
      <c r="B8" s="28"/>
      <c r="C8" s="28"/>
      <c r="D8" s="28"/>
      <c r="E8" s="28"/>
      <c r="F8" s="36"/>
      <c r="G8" s="36"/>
      <c r="H8" s="36"/>
      <c r="I8" s="36"/>
      <c r="J8" s="37"/>
      <c r="K8" s="162"/>
      <c r="L8" s="162"/>
      <c r="M8" s="162"/>
      <c r="N8" s="162"/>
      <c r="O8" s="162"/>
      <c r="P8" s="162"/>
      <c r="Q8" s="104"/>
      <c r="R8" s="30"/>
      <c r="S8" s="30"/>
      <c r="T8" s="30"/>
    </row>
    <row r="9" spans="1:20" ht="14.5" customHeight="1">
      <c r="A9" s="28"/>
      <c r="B9" s="28"/>
      <c r="C9" s="28"/>
      <c r="D9" s="28"/>
      <c r="E9" s="28"/>
      <c r="F9" s="28"/>
      <c r="G9" s="28"/>
      <c r="H9" s="28"/>
      <c r="I9" s="28"/>
      <c r="J9" s="29"/>
      <c r="K9" s="162"/>
      <c r="L9" s="162"/>
      <c r="M9" s="162"/>
      <c r="N9" s="162"/>
      <c r="O9" s="162"/>
      <c r="P9" s="162"/>
      <c r="Q9" s="104"/>
      <c r="R9" s="30"/>
      <c r="S9" s="30"/>
      <c r="T9" s="30"/>
    </row>
    <row r="10" spans="1:20" ht="14.5" customHeight="1">
      <c r="A10" s="153" t="str">
        <f>Need!B17</f>
        <v>Life expectancy for women is 83.6 years, of which 61.1 are expected to be in good health</v>
      </c>
      <c r="B10" s="154"/>
      <c r="C10" s="154"/>
      <c r="D10" s="155"/>
      <c r="E10" s="28"/>
      <c r="F10" s="28"/>
      <c r="G10" s="28"/>
      <c r="H10" s="28"/>
      <c r="I10" s="28"/>
      <c r="J10" s="29"/>
      <c r="K10" s="30"/>
      <c r="L10" s="184" t="str">
        <f>Workforce!B15</f>
        <v>25,000 filled posts</v>
      </c>
      <c r="M10" s="184"/>
      <c r="N10" s="30"/>
      <c r="O10" s="184" t="str">
        <f>Workforce!B17</f>
        <v>1,500 vacancies</v>
      </c>
      <c r="P10" s="184"/>
      <c r="Q10" s="30"/>
      <c r="R10" s="30"/>
      <c r="S10" s="30"/>
      <c r="T10" s="30"/>
    </row>
    <row r="11" spans="1:20">
      <c r="A11" s="156"/>
      <c r="B11" s="157"/>
      <c r="C11" s="157"/>
      <c r="D11" s="158"/>
      <c r="E11" s="28"/>
      <c r="F11" s="28"/>
      <c r="G11" s="28"/>
      <c r="H11" s="28"/>
      <c r="I11" s="28"/>
      <c r="J11" s="29"/>
      <c r="K11" s="30"/>
      <c r="L11" s="184"/>
      <c r="M11" s="184"/>
      <c r="N11" s="185" t="s">
        <v>609</v>
      </c>
      <c r="O11" s="184"/>
      <c r="P11" s="184"/>
      <c r="Q11" s="30"/>
      <c r="R11" s="30"/>
      <c r="S11" s="30"/>
      <c r="T11" s="30"/>
    </row>
    <row r="12" spans="1:20" ht="14" customHeight="1">
      <c r="A12" s="159"/>
      <c r="B12" s="160"/>
      <c r="C12" s="160"/>
      <c r="D12" s="161"/>
      <c r="E12" s="28"/>
      <c r="F12" s="28"/>
      <c r="G12" s="28"/>
      <c r="H12" s="28"/>
      <c r="I12" s="28"/>
      <c r="J12" s="29"/>
      <c r="K12" s="30"/>
      <c r="L12" s="184"/>
      <c r="M12" s="184"/>
      <c r="N12" s="185"/>
      <c r="O12" s="184"/>
      <c r="P12" s="184"/>
      <c r="Q12" s="30"/>
      <c r="R12" s="30"/>
      <c r="S12" s="30"/>
      <c r="T12" s="30"/>
    </row>
    <row r="13" spans="1:20" ht="14" customHeight="1">
      <c r="A13" s="153" t="str">
        <f>Need!B16</f>
        <v>Life expectancy for men is 79.8 years, of which 61.3 are expected to be in good health</v>
      </c>
      <c r="B13" s="154"/>
      <c r="C13" s="154"/>
      <c r="D13" s="155"/>
      <c r="E13" s="28"/>
      <c r="F13" s="28"/>
      <c r="G13" s="28"/>
      <c r="H13" s="28"/>
      <c r="I13" s="28"/>
      <c r="J13" s="29"/>
      <c r="K13" s="30"/>
      <c r="L13" s="184"/>
      <c r="M13" s="184"/>
      <c r="N13" s="185"/>
      <c r="O13" s="184"/>
      <c r="P13" s="184"/>
      <c r="Q13" s="30"/>
      <c r="R13" s="30"/>
      <c r="S13" s="30"/>
      <c r="T13" s="30"/>
    </row>
    <row r="14" spans="1:20" ht="14.5" customHeight="1">
      <c r="A14" s="156"/>
      <c r="B14" s="157"/>
      <c r="C14" s="157"/>
      <c r="D14" s="158"/>
      <c r="E14" s="28"/>
      <c r="F14" s="28"/>
      <c r="G14" s="28"/>
      <c r="H14" s="28"/>
      <c r="I14" s="28"/>
      <c r="J14" s="29"/>
      <c r="K14" s="30"/>
      <c r="L14" s="184"/>
      <c r="M14" s="184"/>
      <c r="N14" s="185"/>
      <c r="O14" s="184"/>
      <c r="P14" s="184"/>
      <c r="Q14" s="30"/>
      <c r="R14" s="30"/>
      <c r="S14" s="30"/>
      <c r="T14" s="30"/>
    </row>
    <row r="15" spans="1:20" ht="14" customHeight="1">
      <c r="A15" s="159"/>
      <c r="B15" s="160"/>
      <c r="C15" s="160"/>
      <c r="D15" s="161"/>
      <c r="E15" s="28"/>
      <c r="F15" s="28"/>
      <c r="G15" s="28"/>
      <c r="H15" s="28"/>
      <c r="I15" s="28"/>
      <c r="J15" s="29"/>
      <c r="K15" s="30"/>
      <c r="L15" s="184"/>
      <c r="M15" s="184"/>
      <c r="N15" s="41"/>
      <c r="O15" s="184"/>
      <c r="P15" s="184"/>
      <c r="Q15" s="30"/>
      <c r="R15" s="30"/>
      <c r="S15" s="30"/>
      <c r="T15" s="30"/>
    </row>
    <row r="16" spans="1:20" ht="14" customHeight="1">
      <c r="A16" s="233" t="s">
        <v>1117</v>
      </c>
      <c r="B16" s="28"/>
      <c r="C16" s="28"/>
      <c r="D16" s="28"/>
      <c r="E16" s="28"/>
      <c r="F16" s="28"/>
      <c r="G16" s="28"/>
      <c r="H16" s="28"/>
      <c r="I16" s="28"/>
      <c r="J16" s="29"/>
      <c r="K16" s="30"/>
      <c r="L16" s="40"/>
      <c r="M16" s="40"/>
      <c r="N16" s="30"/>
      <c r="O16" s="40"/>
      <c r="P16" s="40"/>
      <c r="Q16" s="30"/>
      <c r="R16" s="30"/>
      <c r="S16" s="30"/>
      <c r="T16" s="30"/>
    </row>
    <row r="17" spans="1:20">
      <c r="A17" s="28"/>
      <c r="B17" s="28"/>
      <c r="C17" s="28"/>
      <c r="D17" s="28"/>
      <c r="E17" s="28"/>
      <c r="F17" s="28"/>
      <c r="G17" s="28"/>
      <c r="H17" s="28"/>
      <c r="I17" s="28"/>
      <c r="J17" s="29"/>
      <c r="K17" s="30"/>
      <c r="L17" s="30"/>
      <c r="M17" s="30"/>
      <c r="N17" s="30"/>
      <c r="O17" s="30"/>
      <c r="P17" s="30"/>
      <c r="Q17" s="30"/>
      <c r="R17" s="30"/>
      <c r="S17" s="30"/>
      <c r="T17" s="30"/>
    </row>
    <row r="18" spans="1:20">
      <c r="A18" s="173"/>
      <c r="B18" s="173"/>
      <c r="C18" s="173"/>
      <c r="D18" s="173"/>
      <c r="E18" s="173"/>
      <c r="F18" s="28"/>
      <c r="G18" s="28"/>
      <c r="H18" s="28"/>
      <c r="I18" s="28"/>
      <c r="J18" s="29"/>
      <c r="K18" s="30"/>
      <c r="L18" s="30"/>
      <c r="M18" s="30"/>
      <c r="N18" s="30"/>
      <c r="O18" s="30"/>
      <c r="P18" s="30"/>
      <c r="Q18" s="30"/>
      <c r="R18" s="30"/>
      <c r="S18" s="30"/>
      <c r="T18" s="30"/>
    </row>
    <row r="19" spans="1:20">
      <c r="A19" s="28"/>
      <c r="B19" s="28"/>
      <c r="C19" s="28"/>
      <c r="D19" s="28"/>
      <c r="E19" s="28"/>
      <c r="F19" s="28"/>
      <c r="G19" s="28"/>
      <c r="H19" s="28"/>
      <c r="I19" s="28"/>
      <c r="J19" s="29"/>
      <c r="K19" s="30"/>
      <c r="L19" s="30"/>
      <c r="M19" s="30"/>
      <c r="N19" s="30"/>
      <c r="O19" s="30"/>
      <c r="P19" s="30"/>
      <c r="Q19" s="30"/>
      <c r="R19" s="30"/>
      <c r="S19" s="30"/>
      <c r="T19" s="30"/>
    </row>
    <row r="20" spans="1:20">
      <c r="A20" s="28"/>
      <c r="B20" s="28"/>
      <c r="C20" s="28"/>
      <c r="D20" s="28"/>
      <c r="E20" s="28"/>
      <c r="F20" s="28"/>
      <c r="G20" s="28"/>
      <c r="H20" s="28"/>
      <c r="I20" s="28"/>
      <c r="J20" s="29"/>
      <c r="K20" s="30"/>
      <c r="L20" s="30"/>
      <c r="M20" s="30"/>
      <c r="N20" s="30"/>
      <c r="O20" s="30"/>
      <c r="P20" s="30"/>
      <c r="Q20" s="30"/>
      <c r="R20" s="30"/>
      <c r="S20" s="30"/>
      <c r="T20" s="30"/>
    </row>
    <row r="21" spans="1:20">
      <c r="A21" s="28"/>
      <c r="B21" s="28"/>
      <c r="C21" s="28"/>
      <c r="D21" s="28"/>
      <c r="E21" s="28"/>
      <c r="F21" s="28"/>
      <c r="G21" s="28"/>
      <c r="H21" s="28"/>
      <c r="I21" s="28"/>
      <c r="J21" s="29"/>
      <c r="K21" s="30"/>
      <c r="L21" s="30"/>
      <c r="M21" s="30"/>
      <c r="N21" s="30"/>
      <c r="O21" s="30"/>
      <c r="P21" s="30"/>
      <c r="Q21" s="30"/>
      <c r="R21" s="30"/>
      <c r="S21" s="30"/>
      <c r="T21" s="30"/>
    </row>
    <row r="22" spans="1:20">
      <c r="A22" s="28"/>
      <c r="B22" s="28"/>
      <c r="C22" s="28"/>
      <c r="D22" s="28"/>
      <c r="E22" s="28"/>
      <c r="F22" s="28"/>
      <c r="G22" s="28"/>
      <c r="H22" s="28"/>
      <c r="I22" s="28"/>
      <c r="J22" s="29"/>
      <c r="K22" s="30"/>
      <c r="L22" s="30"/>
      <c r="M22" s="30"/>
      <c r="N22" s="30"/>
      <c r="O22" s="30"/>
      <c r="P22" s="30"/>
      <c r="Q22" s="30"/>
      <c r="R22" s="30"/>
      <c r="S22" s="30"/>
      <c r="T22" s="30"/>
    </row>
    <row r="23" spans="1:20">
      <c r="A23" s="28"/>
      <c r="B23" s="28"/>
      <c r="C23" s="28"/>
      <c r="D23" s="28"/>
      <c r="E23" s="28"/>
      <c r="F23" s="28"/>
      <c r="G23" s="28"/>
      <c r="H23" s="28"/>
      <c r="I23" s="28"/>
      <c r="J23" s="29"/>
      <c r="K23" s="30"/>
      <c r="L23" s="30"/>
      <c r="M23" s="30"/>
      <c r="N23" s="30"/>
      <c r="O23" s="30"/>
      <c r="P23" s="30"/>
      <c r="Q23" s="30"/>
      <c r="R23" s="30"/>
      <c r="S23" s="30"/>
      <c r="T23" s="30"/>
    </row>
    <row r="24" spans="1:20">
      <c r="A24" s="28"/>
      <c r="B24" s="28"/>
      <c r="C24" s="28"/>
      <c r="D24" s="28"/>
      <c r="E24" s="28"/>
      <c r="F24" s="28"/>
      <c r="G24" s="28"/>
      <c r="H24" s="28"/>
      <c r="I24" s="28"/>
      <c r="J24" s="29"/>
      <c r="K24" s="30"/>
      <c r="L24" s="30"/>
      <c r="M24" s="30"/>
      <c r="N24" s="30"/>
      <c r="O24" s="30"/>
      <c r="P24" s="30"/>
      <c r="Q24" s="30"/>
      <c r="R24" s="30"/>
      <c r="S24" s="30"/>
      <c r="T24" s="30"/>
    </row>
    <row r="25" spans="1:20">
      <c r="A25" s="28"/>
      <c r="B25" s="28"/>
      <c r="C25" s="28"/>
      <c r="D25" s="28"/>
      <c r="E25" s="28"/>
      <c r="F25" s="28"/>
      <c r="G25" s="28"/>
      <c r="H25" s="28"/>
      <c r="I25" s="28"/>
      <c r="J25" s="29"/>
      <c r="K25" s="30"/>
      <c r="L25" s="30"/>
      <c r="M25" s="30"/>
      <c r="N25" s="30"/>
      <c r="O25" s="30"/>
      <c r="P25" s="30"/>
      <c r="Q25" s="30"/>
      <c r="R25" s="30"/>
      <c r="S25" s="30"/>
      <c r="T25" s="30"/>
    </row>
    <row r="26" spans="1:20">
      <c r="A26" s="28"/>
      <c r="B26" s="28"/>
      <c r="C26" s="28"/>
      <c r="D26" s="28"/>
      <c r="E26" s="28"/>
      <c r="F26" s="28"/>
      <c r="G26" s="28"/>
      <c r="H26" s="28"/>
      <c r="I26" s="28"/>
      <c r="J26" s="29"/>
      <c r="K26" s="30"/>
      <c r="L26" s="30"/>
      <c r="M26" s="30"/>
      <c r="N26" s="30"/>
      <c r="O26" s="30"/>
      <c r="P26" s="30"/>
      <c r="Q26" s="30"/>
      <c r="R26" s="30"/>
      <c r="S26" s="30"/>
      <c r="T26" s="30"/>
    </row>
    <row r="27" spans="1:20">
      <c r="A27" s="28"/>
      <c r="B27" s="28"/>
      <c r="C27" s="28"/>
      <c r="D27" s="28"/>
      <c r="E27" s="28"/>
      <c r="F27" s="28"/>
      <c r="G27" s="28"/>
      <c r="H27" s="28"/>
      <c r="I27" s="28"/>
      <c r="J27" s="29"/>
      <c r="K27" s="30"/>
      <c r="L27" s="30"/>
      <c r="M27" s="30"/>
      <c r="N27" s="30"/>
      <c r="O27" s="30"/>
      <c r="P27" s="30"/>
      <c r="Q27" s="30"/>
      <c r="R27" s="30"/>
      <c r="S27" s="30"/>
      <c r="T27" s="30"/>
    </row>
    <row r="28" spans="1:20">
      <c r="A28" s="28"/>
      <c r="B28" s="28"/>
      <c r="C28" s="28"/>
      <c r="D28" s="28"/>
      <c r="E28" s="28"/>
      <c r="F28" s="28"/>
      <c r="G28" s="28"/>
      <c r="H28" s="28"/>
      <c r="I28" s="28"/>
      <c r="J28" s="29"/>
      <c r="K28" s="30"/>
      <c r="L28" s="30"/>
      <c r="M28" s="30"/>
      <c r="N28" s="30"/>
      <c r="O28" s="30"/>
      <c r="P28" s="30"/>
      <c r="Q28" s="30"/>
      <c r="R28" s="30"/>
      <c r="S28" s="30"/>
      <c r="T28" s="30"/>
    </row>
    <row r="29" spans="1:20">
      <c r="A29" s="28"/>
      <c r="B29" s="28"/>
      <c r="C29" s="28"/>
      <c r="D29" s="28"/>
      <c r="E29" s="28"/>
      <c r="F29" s="28"/>
      <c r="G29" s="28"/>
      <c r="H29" s="28"/>
      <c r="I29" s="28"/>
      <c r="J29" s="29"/>
      <c r="K29" s="30"/>
      <c r="L29" s="30"/>
      <c r="M29" s="30"/>
      <c r="N29" s="30"/>
      <c r="O29" s="30"/>
      <c r="P29" s="30"/>
      <c r="Q29" s="30"/>
      <c r="R29" s="30"/>
      <c r="S29" s="30"/>
      <c r="T29" s="30"/>
    </row>
    <row r="30" spans="1:20">
      <c r="A30" s="28"/>
      <c r="B30" s="28"/>
      <c r="C30" s="28"/>
      <c r="D30" s="28"/>
      <c r="E30" s="28"/>
      <c r="F30" s="28"/>
      <c r="G30" s="28"/>
      <c r="H30" s="28"/>
      <c r="I30" s="28"/>
      <c r="J30" s="29"/>
      <c r="K30" s="30"/>
      <c r="L30" s="30"/>
      <c r="M30" s="30"/>
      <c r="N30" s="30"/>
      <c r="O30" s="30"/>
      <c r="Q30" s="30"/>
      <c r="R30" s="30"/>
      <c r="S30" s="30"/>
      <c r="T30" s="30"/>
    </row>
    <row r="31" spans="1:20">
      <c r="A31" s="28"/>
      <c r="B31" s="28"/>
      <c r="C31" s="28"/>
      <c r="D31" s="28"/>
      <c r="E31" s="28"/>
      <c r="F31" s="165"/>
      <c r="G31" s="166"/>
      <c r="H31" s="166"/>
      <c r="I31" s="167"/>
      <c r="J31" s="29"/>
      <c r="K31" s="30"/>
      <c r="L31" s="30"/>
      <c r="M31" s="30"/>
      <c r="N31" s="30"/>
      <c r="O31" s="30"/>
      <c r="P31" s="30"/>
      <c r="Q31" s="30"/>
      <c r="R31" s="30"/>
      <c r="S31" s="30"/>
      <c r="T31" s="30"/>
    </row>
    <row r="32" spans="1:20">
      <c r="A32" s="28"/>
      <c r="B32" s="28"/>
      <c r="C32" s="28"/>
      <c r="D32" s="28"/>
      <c r="E32" s="28"/>
      <c r="F32" s="168"/>
      <c r="G32" s="169"/>
      <c r="H32" s="169"/>
      <c r="I32" s="170"/>
      <c r="J32" s="29"/>
      <c r="K32" s="30"/>
      <c r="L32" s="30"/>
      <c r="M32" s="30"/>
      <c r="N32" s="30"/>
      <c r="O32" s="30"/>
      <c r="P32" s="30"/>
      <c r="Q32" s="30"/>
      <c r="R32" s="30"/>
      <c r="S32" s="30"/>
      <c r="T32" s="30"/>
    </row>
    <row r="33" spans="1:20">
      <c r="A33" s="28"/>
      <c r="B33" s="28"/>
      <c r="C33" s="28"/>
      <c r="D33" s="28"/>
      <c r="E33" s="28"/>
      <c r="F33" s="168"/>
      <c r="G33" s="169"/>
      <c r="H33" s="169"/>
      <c r="I33" s="170"/>
      <c r="J33" s="32"/>
      <c r="K33" s="30"/>
      <c r="L33" s="30"/>
      <c r="M33" s="30"/>
      <c r="N33" s="30"/>
      <c r="O33" s="30"/>
      <c r="P33" s="30"/>
      <c r="Q33" s="30"/>
      <c r="R33" s="30"/>
      <c r="S33" s="30"/>
      <c r="T33" s="30"/>
    </row>
    <row r="34" spans="1:20">
      <c r="A34" s="28"/>
      <c r="B34" s="28"/>
      <c r="C34" s="28"/>
      <c r="D34" s="28"/>
      <c r="E34" s="28"/>
      <c r="F34" s="168"/>
      <c r="G34" s="169"/>
      <c r="H34" s="169"/>
      <c r="I34" s="169"/>
      <c r="J34" s="30"/>
      <c r="K34" s="30"/>
      <c r="L34" s="30"/>
      <c r="M34" s="30"/>
      <c r="N34" s="30"/>
      <c r="O34" s="30"/>
      <c r="P34" s="30"/>
      <c r="Q34" s="30"/>
      <c r="R34" s="30"/>
      <c r="S34" s="30"/>
      <c r="T34" s="30"/>
    </row>
    <row r="35" spans="1:20">
      <c r="A35" s="28"/>
      <c r="B35" s="28"/>
      <c r="C35" s="28"/>
      <c r="D35" s="28"/>
      <c r="E35" s="28"/>
      <c r="F35" s="168"/>
      <c r="G35" s="169"/>
      <c r="H35" s="169"/>
      <c r="I35" s="169"/>
      <c r="J35" s="30"/>
      <c r="K35" s="30"/>
      <c r="L35" s="30"/>
      <c r="M35" s="30"/>
      <c r="O35" s="30"/>
      <c r="P35" s="30"/>
      <c r="Q35" s="30"/>
      <c r="R35" s="30"/>
      <c r="S35" s="30"/>
      <c r="T35" s="30"/>
    </row>
    <row r="36" spans="1:20">
      <c r="A36" s="28"/>
      <c r="B36" s="28"/>
      <c r="C36" s="28"/>
      <c r="D36" s="28"/>
      <c r="E36" s="28"/>
      <c r="F36" s="171"/>
      <c r="G36" s="172"/>
      <c r="H36" s="172"/>
      <c r="I36" s="172"/>
      <c r="J36" s="30"/>
      <c r="K36" s="30"/>
      <c r="L36" s="30"/>
      <c r="M36" s="30"/>
      <c r="N36" s="30"/>
      <c r="O36" s="30"/>
      <c r="P36" s="30"/>
      <c r="Q36" s="30"/>
      <c r="R36" s="30"/>
      <c r="S36" s="30"/>
      <c r="T36" s="30"/>
    </row>
    <row r="37" spans="1:20">
      <c r="A37" s="28"/>
      <c r="B37" s="28"/>
      <c r="C37" s="28"/>
      <c r="D37" s="28"/>
      <c r="E37" s="28"/>
      <c r="F37" s="28"/>
      <c r="G37" s="28"/>
      <c r="H37" s="28"/>
      <c r="I37" s="29"/>
      <c r="J37" s="30"/>
      <c r="K37" s="30"/>
      <c r="L37" s="30"/>
      <c r="M37" s="30"/>
      <c r="N37" s="30"/>
      <c r="O37" s="30"/>
      <c r="P37" s="30"/>
      <c r="Q37" s="30"/>
      <c r="R37" s="30"/>
      <c r="S37" s="30"/>
      <c r="T37" s="30"/>
    </row>
    <row r="38" spans="1:20">
      <c r="A38" s="28"/>
      <c r="B38" s="28"/>
      <c r="C38" s="28"/>
      <c r="D38" s="28"/>
      <c r="E38" s="28"/>
      <c r="F38" s="28"/>
      <c r="G38" s="28"/>
      <c r="H38" s="28"/>
      <c r="I38" s="29"/>
      <c r="J38" s="30"/>
      <c r="K38" s="30"/>
      <c r="L38" s="30"/>
      <c r="M38" s="30"/>
      <c r="N38" s="30"/>
      <c r="O38" s="30"/>
      <c r="P38" s="30"/>
      <c r="Q38" s="30"/>
      <c r="R38" s="30"/>
      <c r="S38" s="30"/>
      <c r="T38" s="30"/>
    </row>
    <row r="39" spans="1:20">
      <c r="A39" s="28"/>
      <c r="B39" s="28"/>
      <c r="C39" s="28"/>
      <c r="D39" s="28"/>
      <c r="E39" s="28"/>
      <c r="F39" s="28"/>
      <c r="G39" s="28"/>
      <c r="H39" s="28"/>
      <c r="I39" s="29"/>
      <c r="J39" s="30"/>
      <c r="K39" s="30"/>
      <c r="L39" s="30"/>
      <c r="M39" s="30"/>
      <c r="N39" s="30"/>
      <c r="O39" s="30"/>
      <c r="P39" s="30"/>
      <c r="Q39" s="30"/>
      <c r="R39" s="30"/>
      <c r="S39" s="30"/>
      <c r="T39" s="30"/>
    </row>
    <row r="40" spans="1:20">
      <c r="A40" s="28"/>
      <c r="B40" s="28"/>
      <c r="C40" s="28"/>
      <c r="D40" s="28"/>
      <c r="E40" s="28"/>
      <c r="F40" s="28"/>
      <c r="G40" s="28"/>
      <c r="H40" s="28"/>
      <c r="I40" s="29"/>
      <c r="J40" s="30"/>
      <c r="K40" s="30"/>
      <c r="L40" s="30"/>
      <c r="M40" s="30"/>
      <c r="N40" s="30"/>
      <c r="O40" s="30"/>
      <c r="P40" s="30"/>
      <c r="Q40" s="30"/>
      <c r="R40" s="30"/>
      <c r="S40" s="30"/>
      <c r="T40" s="30"/>
    </row>
    <row r="41" spans="1:20">
      <c r="A41" s="28"/>
      <c r="B41" s="28"/>
      <c r="C41" s="28"/>
      <c r="D41" s="28"/>
      <c r="E41" s="28"/>
      <c r="F41" s="28"/>
      <c r="G41" s="28"/>
      <c r="H41" s="28"/>
      <c r="I41" s="29"/>
      <c r="J41" s="30"/>
      <c r="K41" s="30"/>
      <c r="L41" s="30"/>
      <c r="M41" s="30"/>
      <c r="N41" s="30"/>
      <c r="O41" s="30"/>
      <c r="P41" s="30"/>
      <c r="Q41" s="30"/>
      <c r="R41" s="30"/>
      <c r="S41" s="30"/>
      <c r="T41" s="30"/>
    </row>
    <row r="42" spans="1:20">
      <c r="A42" s="28"/>
      <c r="B42" s="28"/>
      <c r="C42" s="28"/>
      <c r="D42" s="28"/>
      <c r="E42" s="28"/>
      <c r="F42" s="28"/>
      <c r="G42" s="28"/>
      <c r="H42" s="28"/>
      <c r="I42" s="29"/>
      <c r="J42" s="30"/>
      <c r="K42" s="30"/>
      <c r="L42" s="30"/>
      <c r="M42" s="30"/>
      <c r="N42" s="30"/>
      <c r="O42" s="30"/>
      <c r="P42" s="30"/>
      <c r="Q42" s="30"/>
      <c r="R42" s="30"/>
      <c r="S42" s="30"/>
      <c r="T42" s="30"/>
    </row>
    <row r="43" spans="1:20">
      <c r="A43" s="28"/>
      <c r="B43" s="28"/>
      <c r="C43" s="28"/>
      <c r="D43" s="28"/>
      <c r="E43" s="28"/>
      <c r="F43" s="28"/>
      <c r="G43" s="28"/>
      <c r="H43" s="28"/>
      <c r="I43" s="29"/>
      <c r="J43" s="30"/>
      <c r="K43" s="30"/>
      <c r="L43" s="30"/>
      <c r="M43" s="30"/>
      <c r="N43" s="30"/>
      <c r="P43" s="30"/>
      <c r="Q43" s="30"/>
      <c r="R43" s="30"/>
      <c r="S43" s="30"/>
      <c r="T43" s="30"/>
    </row>
    <row r="44" spans="1:20">
      <c r="A44" s="28"/>
      <c r="B44" s="28"/>
      <c r="C44" s="28"/>
      <c r="D44" s="28"/>
      <c r="E44" s="28"/>
      <c r="F44" s="28"/>
      <c r="G44" s="28"/>
      <c r="H44" s="28"/>
      <c r="I44" s="29"/>
      <c r="J44" s="30"/>
      <c r="K44" s="30"/>
      <c r="L44" s="30"/>
      <c r="M44" s="30"/>
      <c r="N44" s="30"/>
      <c r="O44" s="30"/>
      <c r="P44" s="30"/>
      <c r="Q44" s="30"/>
      <c r="R44" s="30"/>
      <c r="S44" s="30"/>
      <c r="T44" s="30"/>
    </row>
    <row r="45" spans="1:20">
      <c r="A45" s="28"/>
      <c r="B45" s="28"/>
      <c r="C45" s="28"/>
      <c r="D45" s="28"/>
      <c r="E45" s="28"/>
      <c r="F45" s="28"/>
      <c r="G45" s="28"/>
      <c r="H45" s="28"/>
      <c r="I45" s="29"/>
      <c r="J45" s="30"/>
      <c r="K45" s="30"/>
      <c r="L45" s="30"/>
      <c r="M45" s="30"/>
      <c r="N45" s="30"/>
      <c r="O45" s="30"/>
      <c r="P45" s="30"/>
      <c r="Q45" s="30"/>
      <c r="R45" s="30"/>
      <c r="S45" s="30"/>
      <c r="T45" s="30"/>
    </row>
    <row r="46" spans="1:20">
      <c r="A46" s="38"/>
      <c r="B46" s="38"/>
      <c r="C46" s="38"/>
      <c r="D46" s="38"/>
      <c r="E46" s="38"/>
      <c r="F46" s="38"/>
      <c r="G46" s="38"/>
      <c r="H46" s="38"/>
      <c r="I46" s="39"/>
      <c r="J46" s="30"/>
      <c r="K46" s="30"/>
      <c r="L46" s="30"/>
      <c r="M46" s="30"/>
      <c r="N46" s="30"/>
      <c r="O46" s="30"/>
      <c r="P46" s="30"/>
      <c r="Q46" s="30"/>
      <c r="R46" s="30"/>
      <c r="S46" s="30"/>
      <c r="T46" s="30"/>
    </row>
    <row r="47" spans="1:20">
      <c r="A47" s="233" t="s">
        <v>1117</v>
      </c>
      <c r="B47" s="30"/>
      <c r="C47" s="30"/>
      <c r="D47" s="30"/>
      <c r="E47" s="30"/>
      <c r="F47" s="30"/>
      <c r="G47" s="30"/>
      <c r="H47" s="30"/>
      <c r="I47" s="30"/>
      <c r="J47" s="30"/>
      <c r="K47" s="30"/>
      <c r="L47" s="30"/>
      <c r="M47" s="30"/>
      <c r="N47" s="30"/>
      <c r="O47" s="30"/>
      <c r="P47" s="30"/>
      <c r="Q47" s="30"/>
      <c r="R47" s="30"/>
      <c r="S47" s="30"/>
      <c r="T47" s="30"/>
    </row>
    <row r="48" spans="1:20">
      <c r="A48" s="30"/>
      <c r="B48" s="30"/>
      <c r="C48" s="30"/>
      <c r="D48" s="30"/>
      <c r="E48" s="30"/>
      <c r="F48" s="30"/>
      <c r="G48" s="30"/>
      <c r="H48" s="30"/>
      <c r="I48" s="30"/>
      <c r="J48" s="30"/>
      <c r="K48" s="233" t="s">
        <v>1118</v>
      </c>
      <c r="L48" s="30"/>
      <c r="M48" s="30"/>
      <c r="N48" s="30"/>
      <c r="O48" s="30"/>
      <c r="P48" s="30"/>
      <c r="Q48" s="30"/>
      <c r="R48" s="30"/>
      <c r="S48" s="30"/>
      <c r="T48" s="30"/>
    </row>
    <row r="49" spans="1:20" ht="14.5" customHeight="1">
      <c r="A49" s="30"/>
      <c r="B49" s="30"/>
      <c r="C49" s="30"/>
      <c r="D49" s="30"/>
      <c r="E49" s="30"/>
      <c r="F49" s="30"/>
      <c r="G49" s="30"/>
      <c r="H49" s="30"/>
      <c r="I49" s="30"/>
      <c r="J49" s="30"/>
      <c r="K49" s="30"/>
      <c r="L49" s="30"/>
      <c r="M49" s="30"/>
      <c r="N49" s="30"/>
      <c r="O49" s="30"/>
      <c r="P49" s="30"/>
      <c r="Q49" s="30"/>
      <c r="R49" s="87"/>
      <c r="S49" s="87"/>
      <c r="T49" s="30"/>
    </row>
    <row r="50" spans="1:20" ht="14.5" customHeight="1">
      <c r="A50" s="30"/>
      <c r="B50" s="163" t="str">
        <f>'Care Users'!K2</f>
        <v>Care Users</v>
      </c>
      <c r="C50" s="163"/>
      <c r="D50" s="163"/>
      <c r="E50" s="163"/>
      <c r="F50" s="163"/>
      <c r="G50" s="163"/>
      <c r="H50" s="163"/>
      <c r="I50" s="163"/>
      <c r="J50" s="30"/>
      <c r="K50" s="30"/>
      <c r="L50" s="178" t="str">
        <f>Outcomes!K2</f>
        <v>Outcomes</v>
      </c>
      <c r="M50" s="179"/>
      <c r="N50" s="179"/>
      <c r="O50" s="179"/>
      <c r="P50" s="179"/>
      <c r="Q50" s="179"/>
      <c r="R50" s="179"/>
      <c r="S50" s="180"/>
      <c r="T50" s="30"/>
    </row>
    <row r="51" spans="1:20" ht="14" customHeight="1">
      <c r="A51" s="30"/>
      <c r="B51" s="163"/>
      <c r="C51" s="163"/>
      <c r="D51" s="163"/>
      <c r="E51" s="163"/>
      <c r="F51" s="163"/>
      <c r="G51" s="163"/>
      <c r="H51" s="163"/>
      <c r="I51" s="163"/>
      <c r="J51" s="30"/>
      <c r="K51" s="30"/>
      <c r="L51" s="181"/>
      <c r="M51" s="182"/>
      <c r="N51" s="182"/>
      <c r="O51" s="182"/>
      <c r="P51" s="182"/>
      <c r="Q51" s="182"/>
      <c r="R51" s="182"/>
      <c r="S51" s="183"/>
      <c r="T51" s="30"/>
    </row>
    <row r="52" spans="1:20">
      <c r="A52" s="30"/>
      <c r="B52" s="30"/>
      <c r="C52" s="30"/>
      <c r="D52" s="30"/>
      <c r="E52" s="30"/>
      <c r="F52" s="30"/>
      <c r="G52" s="30"/>
      <c r="H52" s="30"/>
      <c r="I52" s="30"/>
      <c r="J52" s="30"/>
      <c r="K52" s="30"/>
      <c r="L52" s="30"/>
      <c r="M52" s="30"/>
      <c r="N52" s="30"/>
      <c r="O52" s="30"/>
      <c r="P52" s="30"/>
      <c r="Q52" s="30"/>
      <c r="R52" s="30"/>
      <c r="S52" s="30"/>
      <c r="T52" s="30"/>
    </row>
    <row r="53" spans="1:20">
      <c r="A53" s="30"/>
      <c r="B53" s="30"/>
      <c r="C53" s="30"/>
      <c r="D53" s="30"/>
      <c r="E53" s="30"/>
      <c r="F53" s="30"/>
      <c r="G53" s="30"/>
      <c r="H53" s="30"/>
      <c r="I53" s="30"/>
      <c r="J53" s="30"/>
      <c r="K53" s="30"/>
      <c r="L53" s="30"/>
      <c r="M53" s="30"/>
      <c r="N53" s="30"/>
      <c r="O53" s="30"/>
      <c r="P53" s="30"/>
      <c r="Q53" s="30"/>
      <c r="R53" s="30"/>
      <c r="S53" s="30"/>
      <c r="T53" s="30"/>
    </row>
    <row r="54" spans="1:20">
      <c r="A54" s="30"/>
      <c r="B54" s="30"/>
      <c r="C54" s="30"/>
      <c r="D54" s="30"/>
      <c r="E54" s="30"/>
      <c r="F54" s="30"/>
      <c r="G54" s="30"/>
      <c r="H54" s="30"/>
      <c r="I54" s="30"/>
      <c r="J54" s="30"/>
      <c r="K54" s="30"/>
      <c r="L54" s="30"/>
      <c r="M54" s="30"/>
      <c r="N54" s="30"/>
      <c r="O54" s="30"/>
      <c r="P54" s="30"/>
      <c r="Q54" s="30"/>
      <c r="R54" s="30"/>
      <c r="S54" s="30"/>
      <c r="T54" s="30"/>
    </row>
    <row r="55" spans="1:20" ht="14.5" customHeight="1">
      <c r="A55" s="30"/>
      <c r="B55" s="30"/>
      <c r="C55" s="30"/>
      <c r="D55" s="30"/>
      <c r="E55" s="30"/>
      <c r="F55" s="30"/>
      <c r="G55" s="30"/>
      <c r="H55" s="30"/>
      <c r="I55" s="30"/>
      <c r="J55" s="30"/>
      <c r="K55" s="30"/>
      <c r="L55" s="30"/>
      <c r="M55" s="30"/>
      <c r="N55" s="30"/>
      <c r="O55" s="30"/>
      <c r="P55" s="30"/>
      <c r="Q55" s="30"/>
      <c r="R55" s="30"/>
      <c r="S55" s="30"/>
      <c r="T55" s="30"/>
    </row>
    <row r="56" spans="1:20" ht="14.5" customHeight="1">
      <c r="A56" s="30"/>
      <c r="B56" s="30"/>
      <c r="C56" s="30"/>
      <c r="D56" s="30"/>
      <c r="E56" s="30"/>
      <c r="F56" s="30"/>
      <c r="G56" s="30"/>
      <c r="H56" s="30"/>
      <c r="I56" s="30"/>
      <c r="J56" s="30"/>
      <c r="K56" s="30"/>
      <c r="L56" s="40"/>
      <c r="M56" s="40"/>
      <c r="N56" s="40"/>
      <c r="O56" s="40"/>
      <c r="P56" s="40"/>
      <c r="Q56" s="30"/>
      <c r="R56" s="30"/>
      <c r="S56" s="30"/>
      <c r="T56" s="30"/>
    </row>
    <row r="57" spans="1:20" ht="14.5" customHeight="1">
      <c r="A57" s="30"/>
      <c r="B57" s="30"/>
      <c r="C57" s="30"/>
      <c r="D57" s="30"/>
      <c r="E57" s="30"/>
      <c r="F57" s="30"/>
      <c r="G57" s="30"/>
      <c r="H57" s="30"/>
      <c r="I57" s="30"/>
      <c r="J57" s="30"/>
      <c r="L57" s="102"/>
      <c r="M57" s="102"/>
      <c r="N57" s="102"/>
      <c r="O57" s="102"/>
      <c r="P57" s="102"/>
      <c r="Q57" s="30"/>
      <c r="R57" s="30"/>
      <c r="S57" s="30"/>
      <c r="T57" s="30"/>
    </row>
    <row r="58" spans="1:20" ht="14" customHeight="1">
      <c r="A58" s="30"/>
      <c r="B58" s="30"/>
      <c r="C58" s="30"/>
      <c r="D58" s="30"/>
      <c r="E58" s="30"/>
      <c r="F58" s="30"/>
      <c r="G58" s="30"/>
      <c r="H58" s="30"/>
      <c r="I58" s="30"/>
      <c r="J58" s="30"/>
      <c r="K58" s="102"/>
      <c r="L58" s="102"/>
      <c r="M58" s="102"/>
      <c r="N58" s="102"/>
      <c r="O58" s="102"/>
      <c r="P58" s="102"/>
      <c r="Q58" s="30"/>
      <c r="R58" s="30"/>
      <c r="S58" s="30"/>
      <c r="T58" s="30"/>
    </row>
    <row r="59" spans="1:20" ht="14.5" customHeight="1">
      <c r="A59" s="30"/>
      <c r="B59" s="30"/>
      <c r="C59" s="30"/>
      <c r="D59" s="30"/>
      <c r="E59" s="30"/>
      <c r="F59" s="30"/>
      <c r="G59" s="30"/>
      <c r="H59" s="30"/>
      <c r="I59" s="30"/>
      <c r="J59" s="30"/>
      <c r="K59" s="102"/>
      <c r="L59" s="102"/>
      <c r="M59" s="102"/>
      <c r="N59" s="102"/>
      <c r="O59" s="102"/>
      <c r="P59" s="102"/>
      <c r="Q59" s="30"/>
      <c r="R59" s="30"/>
      <c r="S59" s="30"/>
      <c r="T59" s="30"/>
    </row>
    <row r="60" spans="1:20" ht="14.5" customHeight="1">
      <c r="A60" s="30"/>
      <c r="B60" s="30"/>
      <c r="C60" s="30"/>
      <c r="D60" s="30"/>
      <c r="E60" s="30"/>
      <c r="F60" s="30"/>
      <c r="G60" s="30"/>
      <c r="H60" s="30"/>
      <c r="I60" s="30"/>
      <c r="J60" s="30"/>
      <c r="K60" s="40"/>
      <c r="L60" s="30"/>
      <c r="M60" s="40"/>
      <c r="N60" s="41"/>
      <c r="O60" s="30"/>
      <c r="P60" s="40"/>
      <c r="Q60" s="30"/>
      <c r="R60" s="30"/>
      <c r="S60" s="30"/>
      <c r="T60" s="30"/>
    </row>
    <row r="61" spans="1:20" ht="14.5" customHeight="1">
      <c r="A61" s="30"/>
      <c r="B61" s="30"/>
      <c r="C61" s="30"/>
      <c r="D61" s="30"/>
      <c r="E61" s="30"/>
      <c r="F61" s="30"/>
      <c r="G61" s="30"/>
      <c r="H61" s="30"/>
      <c r="I61" s="30"/>
      <c r="J61" s="30"/>
      <c r="K61" s="40"/>
      <c r="M61" s="40"/>
      <c r="P61" s="40"/>
      <c r="Q61" s="30"/>
      <c r="R61" s="30"/>
      <c r="S61" s="30"/>
      <c r="T61" s="30"/>
    </row>
    <row r="62" spans="1:20" ht="14" customHeight="1">
      <c r="A62" s="30"/>
      <c r="B62" s="30"/>
      <c r="C62" s="30"/>
      <c r="D62" s="30"/>
      <c r="E62" s="30"/>
      <c r="F62" s="30"/>
      <c r="G62" s="30"/>
      <c r="H62" s="30"/>
      <c r="I62" s="30"/>
      <c r="J62" s="30"/>
      <c r="K62" s="30"/>
      <c r="L62" s="40"/>
      <c r="M62" s="40"/>
      <c r="N62" s="41"/>
      <c r="O62" s="40"/>
      <c r="P62" s="40"/>
      <c r="Q62" s="30"/>
      <c r="R62" s="30"/>
      <c r="S62" s="30"/>
      <c r="T62" s="30"/>
    </row>
    <row r="63" spans="1:20" ht="14" customHeight="1">
      <c r="A63" s="30"/>
      <c r="B63" s="30"/>
      <c r="C63" s="30"/>
      <c r="D63" s="30"/>
      <c r="E63" s="30"/>
      <c r="F63" s="30"/>
      <c r="G63" s="30"/>
      <c r="H63" s="30"/>
      <c r="I63" s="30"/>
      <c r="J63" s="30"/>
      <c r="K63" s="30"/>
      <c r="L63" s="40"/>
      <c r="M63" s="40"/>
      <c r="N63" s="41"/>
      <c r="O63" s="40"/>
      <c r="P63" s="40"/>
      <c r="Q63" s="30"/>
      <c r="R63" s="30"/>
      <c r="S63" s="30"/>
      <c r="T63" s="30"/>
    </row>
    <row r="64" spans="1:20" ht="14" customHeight="1">
      <c r="A64" s="30"/>
      <c r="B64" s="30"/>
      <c r="C64" s="30"/>
      <c r="D64" s="30"/>
      <c r="E64" s="30"/>
      <c r="F64" s="30"/>
      <c r="G64" s="30"/>
      <c r="H64" s="30"/>
      <c r="I64" s="30"/>
      <c r="J64" s="30"/>
      <c r="K64" s="30"/>
      <c r="L64" s="40"/>
      <c r="M64" s="40"/>
      <c r="N64" s="41"/>
      <c r="O64" s="40"/>
      <c r="P64" s="40"/>
      <c r="Q64" s="30"/>
      <c r="R64" s="30"/>
      <c r="S64" s="30"/>
      <c r="T64" s="30"/>
    </row>
    <row r="65" spans="1:20" ht="14" customHeight="1">
      <c r="A65" s="30"/>
      <c r="B65" s="30"/>
      <c r="C65" s="30"/>
      <c r="D65" s="30"/>
      <c r="E65" s="30"/>
      <c r="F65" s="30"/>
      <c r="G65" s="30"/>
      <c r="H65" s="30"/>
      <c r="I65" s="30"/>
      <c r="J65" s="30"/>
      <c r="K65" s="30"/>
      <c r="L65" s="40"/>
      <c r="M65" s="40"/>
      <c r="N65" s="41"/>
      <c r="O65" s="40"/>
      <c r="P65" s="40"/>
      <c r="Q65" s="30"/>
      <c r="R65" s="30"/>
      <c r="S65" s="30"/>
      <c r="T65" s="30"/>
    </row>
    <row r="66" spans="1:20">
      <c r="A66" s="30"/>
      <c r="B66" s="30"/>
      <c r="C66" s="30"/>
      <c r="D66" s="30"/>
      <c r="E66" s="30"/>
      <c r="F66" s="30"/>
      <c r="G66" s="30"/>
      <c r="H66" s="30"/>
      <c r="I66" s="30"/>
      <c r="J66" s="30"/>
      <c r="K66" s="30"/>
      <c r="L66" s="30"/>
      <c r="M66" s="30"/>
      <c r="N66" s="30"/>
      <c r="O66" s="30"/>
      <c r="P66" s="30"/>
      <c r="Q66" s="30"/>
      <c r="R66" s="30"/>
      <c r="S66" s="30"/>
      <c r="T66" s="30"/>
    </row>
    <row r="67" spans="1:20">
      <c r="A67" s="30"/>
      <c r="B67" s="30"/>
      <c r="C67" s="30"/>
      <c r="D67" s="30"/>
      <c r="E67" s="30"/>
      <c r="F67" s="30"/>
      <c r="G67" s="30"/>
      <c r="H67" s="30"/>
      <c r="I67" s="30"/>
      <c r="J67" s="30"/>
      <c r="K67" s="30"/>
      <c r="L67" s="30"/>
      <c r="M67" s="30"/>
      <c r="N67" s="30"/>
      <c r="O67" s="30"/>
      <c r="P67" s="30"/>
      <c r="Q67" s="30"/>
      <c r="R67" s="30"/>
      <c r="S67" s="30"/>
      <c r="T67" s="30"/>
    </row>
    <row r="68" spans="1:20">
      <c r="A68" s="30"/>
      <c r="B68" s="30"/>
      <c r="C68" s="30"/>
      <c r="D68" s="30"/>
      <c r="E68" s="30"/>
      <c r="F68" s="30"/>
      <c r="G68" s="30"/>
      <c r="H68" s="30"/>
      <c r="I68" s="30"/>
      <c r="J68" s="30"/>
      <c r="K68" s="30"/>
      <c r="L68" s="30"/>
      <c r="M68" s="30"/>
      <c r="N68" s="30"/>
      <c r="O68" s="30"/>
      <c r="P68" s="30"/>
      <c r="Q68" s="30"/>
      <c r="R68" s="30"/>
      <c r="S68" s="30"/>
      <c r="T68" s="30"/>
    </row>
    <row r="69" spans="1:20">
      <c r="A69" s="30"/>
      <c r="B69" s="30"/>
      <c r="C69" s="30"/>
      <c r="D69" s="30"/>
      <c r="E69" s="30"/>
      <c r="F69" s="30"/>
      <c r="G69" s="30"/>
      <c r="H69" s="30"/>
      <c r="I69" s="30"/>
      <c r="J69" s="30"/>
      <c r="K69" s="30"/>
      <c r="L69" s="30"/>
      <c r="M69" s="30"/>
      <c r="N69" s="30"/>
      <c r="O69" s="30"/>
      <c r="P69" s="30"/>
      <c r="Q69" s="30"/>
      <c r="R69" s="30"/>
      <c r="S69" s="30"/>
      <c r="T69" s="30"/>
    </row>
    <row r="70" spans="1:20">
      <c r="A70" s="30"/>
      <c r="B70" s="30"/>
      <c r="C70" s="30"/>
      <c r="D70" s="30"/>
      <c r="E70" s="30"/>
      <c r="F70" s="30"/>
      <c r="G70" s="30"/>
      <c r="H70" s="30"/>
      <c r="I70" s="30"/>
      <c r="J70" s="30"/>
      <c r="K70" s="30"/>
      <c r="L70" s="30"/>
      <c r="M70" s="30"/>
      <c r="N70" s="30"/>
      <c r="O70" s="30"/>
      <c r="P70" s="30"/>
      <c r="Q70" s="30"/>
      <c r="R70" s="30"/>
      <c r="S70" s="30"/>
      <c r="T70" s="30"/>
    </row>
    <row r="71" spans="1:20">
      <c r="A71" s="30"/>
      <c r="B71" s="30"/>
      <c r="C71" s="30"/>
      <c r="D71" s="30"/>
      <c r="E71" s="30"/>
      <c r="F71" s="30"/>
      <c r="G71" s="30"/>
      <c r="H71" s="30"/>
      <c r="I71" s="30"/>
      <c r="J71" s="30"/>
      <c r="K71" s="30"/>
      <c r="L71" s="30"/>
      <c r="M71" s="30"/>
      <c r="N71" s="30"/>
      <c r="O71" s="30"/>
      <c r="P71" s="30"/>
      <c r="Q71" s="30"/>
      <c r="R71" s="30"/>
      <c r="S71" s="30"/>
      <c r="T71" s="30"/>
    </row>
    <row r="72" spans="1:20">
      <c r="A72" s="30"/>
      <c r="B72" s="30"/>
      <c r="C72" s="30"/>
      <c r="D72" s="30"/>
      <c r="E72" s="30"/>
      <c r="F72" s="30"/>
      <c r="G72" s="30"/>
      <c r="H72" s="30"/>
      <c r="I72" s="30"/>
      <c r="J72" s="30"/>
      <c r="K72" s="30"/>
      <c r="L72" s="30"/>
      <c r="M72" s="30"/>
      <c r="N72" s="30"/>
      <c r="O72" s="30"/>
      <c r="P72" s="30"/>
      <c r="Q72" s="30"/>
      <c r="R72" s="30"/>
      <c r="S72" s="30"/>
      <c r="T72" s="30"/>
    </row>
    <row r="73" spans="1:20">
      <c r="A73" s="30"/>
      <c r="B73" s="30"/>
      <c r="C73" s="30"/>
      <c r="D73" s="30"/>
      <c r="E73" s="30"/>
      <c r="F73" s="30"/>
      <c r="G73" s="30"/>
      <c r="H73" s="30"/>
      <c r="I73" s="30"/>
      <c r="J73" s="30"/>
      <c r="K73" s="30"/>
      <c r="L73" s="30"/>
      <c r="M73" s="30"/>
      <c r="N73" s="30"/>
      <c r="O73" s="30"/>
      <c r="P73" s="30"/>
      <c r="Q73" s="30"/>
      <c r="R73" s="30"/>
      <c r="S73" s="30"/>
      <c r="T73" s="30"/>
    </row>
    <row r="74" spans="1:20">
      <c r="A74" s="30"/>
      <c r="B74" s="30"/>
      <c r="C74" s="30"/>
      <c r="D74" s="30"/>
      <c r="E74" s="30"/>
      <c r="F74" s="30"/>
      <c r="G74" s="30"/>
      <c r="H74" s="30"/>
      <c r="I74" s="30"/>
      <c r="J74" s="30"/>
      <c r="K74" s="30"/>
      <c r="L74" s="30"/>
      <c r="M74" s="30"/>
      <c r="N74" s="30"/>
      <c r="O74" s="30"/>
      <c r="P74" s="30"/>
      <c r="Q74" s="30"/>
      <c r="R74" s="30"/>
      <c r="S74" s="30"/>
      <c r="T74" s="30"/>
    </row>
    <row r="75" spans="1:20">
      <c r="A75" s="30"/>
      <c r="B75" s="30"/>
      <c r="C75" s="30"/>
      <c r="D75" s="30"/>
      <c r="E75" s="30"/>
      <c r="F75" s="30"/>
      <c r="G75" s="30"/>
      <c r="H75" s="30"/>
      <c r="I75" s="30"/>
      <c r="J75" s="30"/>
      <c r="K75" s="30"/>
      <c r="L75" s="30"/>
      <c r="M75" s="30"/>
      <c r="N75" s="30"/>
      <c r="O75" s="30"/>
      <c r="P75" s="30"/>
      <c r="Q75" s="30"/>
      <c r="R75" s="30"/>
      <c r="S75" s="30"/>
      <c r="T75" s="30"/>
    </row>
    <row r="76" spans="1:20">
      <c r="A76" s="30"/>
      <c r="B76" s="30"/>
      <c r="C76" s="30"/>
      <c r="D76" s="30"/>
      <c r="E76" s="30"/>
      <c r="F76" s="30"/>
      <c r="G76" s="30"/>
      <c r="H76" s="30"/>
      <c r="I76" s="30"/>
      <c r="J76" s="30"/>
      <c r="K76" s="30"/>
      <c r="L76" s="30"/>
      <c r="M76" s="30"/>
      <c r="N76" s="30"/>
      <c r="O76" s="30"/>
      <c r="P76" s="30"/>
      <c r="Q76" s="30"/>
      <c r="R76" s="30"/>
      <c r="S76" s="30"/>
      <c r="T76" s="30"/>
    </row>
    <row r="77" spans="1:20">
      <c r="A77" s="30"/>
      <c r="B77" s="30"/>
      <c r="C77" s="30"/>
      <c r="D77" s="30"/>
      <c r="E77" s="30"/>
      <c r="F77" s="30"/>
      <c r="G77" s="30"/>
      <c r="H77" s="30"/>
      <c r="I77" s="30"/>
      <c r="J77" s="30"/>
      <c r="K77" s="30"/>
      <c r="L77" s="30"/>
      <c r="M77" s="30"/>
      <c r="N77" s="30"/>
      <c r="O77" s="30"/>
      <c r="P77" s="30"/>
      <c r="Q77" s="30"/>
      <c r="R77" s="30"/>
      <c r="S77" s="30"/>
      <c r="T77" s="30"/>
    </row>
    <row r="78" spans="1:20">
      <c r="A78" s="30"/>
      <c r="B78" s="30"/>
      <c r="C78" s="30"/>
      <c r="D78" s="30"/>
      <c r="E78" s="30"/>
      <c r="F78" s="30"/>
      <c r="G78" s="30"/>
      <c r="H78" s="30"/>
      <c r="I78" s="30"/>
      <c r="J78" s="30"/>
      <c r="K78" s="30"/>
      <c r="L78" s="30"/>
      <c r="M78" s="30"/>
      <c r="N78" s="30"/>
      <c r="O78" s="30"/>
      <c r="P78" s="30"/>
      <c r="Q78" s="30"/>
      <c r="R78" s="30"/>
      <c r="S78" s="30"/>
      <c r="T78" s="30"/>
    </row>
    <row r="79" spans="1:20">
      <c r="A79" s="30"/>
      <c r="B79" s="30"/>
      <c r="C79" s="30"/>
      <c r="D79" s="30"/>
      <c r="E79" s="30"/>
      <c r="F79" s="30"/>
      <c r="G79" s="30"/>
      <c r="H79" s="30"/>
      <c r="I79" s="30"/>
      <c r="J79" s="30"/>
      <c r="K79" s="30"/>
      <c r="L79" s="30"/>
      <c r="M79" s="30"/>
      <c r="N79" s="30"/>
      <c r="O79" s="30"/>
      <c r="P79" s="30"/>
      <c r="Q79" s="30"/>
      <c r="R79" s="30"/>
      <c r="S79" s="30"/>
      <c r="T79" s="30"/>
    </row>
    <row r="80" spans="1:20">
      <c r="A80" s="30"/>
      <c r="B80" s="30"/>
      <c r="C80" s="30"/>
      <c r="D80" s="30"/>
      <c r="E80" s="30"/>
      <c r="F80" s="30"/>
      <c r="G80" s="30"/>
      <c r="H80" s="30"/>
      <c r="I80" s="30"/>
      <c r="J80" s="30"/>
      <c r="K80" s="30"/>
      <c r="L80" s="30"/>
      <c r="M80" s="30"/>
      <c r="N80" s="30"/>
      <c r="O80" s="30"/>
      <c r="P80" s="30"/>
      <c r="Q80" s="30"/>
      <c r="R80" s="30"/>
      <c r="S80" s="30"/>
      <c r="T80" s="30"/>
    </row>
    <row r="81" spans="1:20">
      <c r="A81" s="30"/>
      <c r="B81" s="30"/>
      <c r="C81" s="30"/>
      <c r="D81" s="30"/>
      <c r="E81" s="30"/>
      <c r="F81" s="30"/>
      <c r="G81" s="30"/>
      <c r="H81" s="30"/>
      <c r="I81" s="30"/>
      <c r="J81" s="30"/>
      <c r="K81" s="30"/>
      <c r="L81" s="30"/>
      <c r="M81" s="30"/>
      <c r="N81" s="30"/>
      <c r="O81" s="30"/>
      <c r="P81" s="30"/>
      <c r="Q81" s="30"/>
      <c r="R81" s="30"/>
      <c r="S81" s="30"/>
      <c r="T81" s="30"/>
    </row>
    <row r="82" spans="1:20">
      <c r="A82" s="30"/>
      <c r="B82" s="30"/>
      <c r="C82" s="30"/>
      <c r="D82" s="30"/>
      <c r="E82" s="30"/>
      <c r="F82" s="30"/>
      <c r="G82" s="30"/>
      <c r="H82" s="30"/>
      <c r="I82" s="30"/>
      <c r="J82" s="30"/>
      <c r="K82" s="30"/>
      <c r="L82" s="30"/>
      <c r="M82" s="30"/>
      <c r="N82" s="30"/>
      <c r="O82" s="30"/>
      <c r="P82" s="30"/>
      <c r="Q82" s="30"/>
      <c r="R82" s="30"/>
      <c r="S82" s="30"/>
      <c r="T82" s="30"/>
    </row>
    <row r="83" spans="1:20">
      <c r="A83" s="30"/>
      <c r="B83" s="30"/>
      <c r="C83" s="30"/>
      <c r="D83" s="30"/>
      <c r="E83" s="30"/>
      <c r="F83" s="30"/>
      <c r="G83" s="30"/>
      <c r="H83" s="30"/>
      <c r="I83" s="30"/>
      <c r="J83" s="30"/>
      <c r="K83" s="30"/>
      <c r="L83" s="30"/>
      <c r="M83" s="30"/>
      <c r="N83" s="30"/>
      <c r="O83" s="30"/>
      <c r="P83" s="30"/>
      <c r="Q83" s="30"/>
      <c r="R83" s="30"/>
      <c r="S83" s="30"/>
      <c r="T83" s="30"/>
    </row>
    <row r="84" spans="1:20">
      <c r="A84" s="30"/>
      <c r="B84" s="30"/>
      <c r="C84" s="30"/>
      <c r="D84" s="30"/>
      <c r="E84" s="30"/>
      <c r="F84" s="30"/>
      <c r="G84" s="30"/>
      <c r="H84" s="30"/>
      <c r="I84" s="30"/>
      <c r="J84" s="30"/>
      <c r="K84" s="30"/>
      <c r="L84" s="30"/>
      <c r="M84" s="30"/>
      <c r="N84" s="30"/>
      <c r="O84" s="30"/>
      <c r="P84" s="30"/>
      <c r="Q84" s="30"/>
      <c r="R84" s="30"/>
      <c r="S84" s="30"/>
      <c r="T84" s="30"/>
    </row>
    <row r="85" spans="1:20">
      <c r="A85" s="30"/>
      <c r="B85" s="30"/>
      <c r="C85" s="30"/>
      <c r="D85" s="30"/>
      <c r="E85" s="30"/>
      <c r="F85" s="30"/>
      <c r="G85" s="30"/>
      <c r="H85" s="30"/>
      <c r="I85" s="30"/>
      <c r="J85" s="30"/>
      <c r="K85" s="30"/>
      <c r="L85" s="30"/>
      <c r="M85" s="30"/>
      <c r="N85" s="30"/>
      <c r="O85" s="30"/>
      <c r="P85" s="30"/>
      <c r="Q85" s="30"/>
      <c r="R85" s="30"/>
      <c r="S85" s="30"/>
      <c r="T85" s="30"/>
    </row>
    <row r="86" spans="1:20">
      <c r="A86" s="30"/>
      <c r="B86" s="30"/>
      <c r="C86" s="30"/>
      <c r="D86" s="30"/>
      <c r="E86" s="30"/>
      <c r="F86" s="30"/>
      <c r="G86" s="30"/>
      <c r="H86" s="30"/>
      <c r="I86" s="30"/>
      <c r="J86" s="30"/>
      <c r="K86" s="30"/>
      <c r="L86" s="30"/>
      <c r="M86" s="30"/>
      <c r="N86" s="30"/>
      <c r="O86" s="30"/>
      <c r="P86" s="30"/>
      <c r="Q86" s="30"/>
      <c r="R86" s="30"/>
      <c r="S86" s="30"/>
      <c r="T86" s="30"/>
    </row>
    <row r="87" spans="1:20">
      <c r="A87" s="30"/>
      <c r="B87" s="30"/>
      <c r="C87" s="30"/>
      <c r="D87" s="30"/>
      <c r="E87" s="30"/>
      <c r="F87" s="30"/>
      <c r="G87" s="30"/>
      <c r="H87" s="30"/>
      <c r="I87" s="30"/>
      <c r="J87" s="30"/>
      <c r="K87" s="30"/>
      <c r="L87" s="30"/>
      <c r="M87" s="30"/>
      <c r="N87" s="30"/>
      <c r="O87" s="30"/>
      <c r="P87" s="30"/>
      <c r="Q87" s="30"/>
      <c r="R87" s="30"/>
      <c r="S87" s="30"/>
      <c r="T87" s="30"/>
    </row>
    <row r="88" spans="1:20">
      <c r="A88" s="30"/>
      <c r="B88" s="30"/>
      <c r="C88" s="30"/>
      <c r="D88" s="30"/>
      <c r="E88" s="30"/>
      <c r="F88" s="30"/>
      <c r="G88" s="30"/>
      <c r="H88" s="30"/>
      <c r="I88" s="30"/>
      <c r="J88" s="30"/>
      <c r="K88" s="30"/>
      <c r="L88" s="30"/>
      <c r="M88" s="30"/>
      <c r="N88" s="30"/>
      <c r="O88" s="30"/>
      <c r="P88" s="30"/>
      <c r="Q88" s="30"/>
      <c r="R88" s="30"/>
      <c r="S88" s="30"/>
      <c r="T88" s="30"/>
    </row>
    <row r="89" spans="1:20">
      <c r="A89" s="30"/>
      <c r="B89" s="30"/>
      <c r="C89" s="30"/>
      <c r="D89" s="30"/>
      <c r="E89" s="30"/>
      <c r="F89" s="30"/>
      <c r="G89" s="30"/>
      <c r="H89" s="30"/>
      <c r="I89" s="30"/>
      <c r="J89" s="30"/>
      <c r="K89" s="30"/>
      <c r="L89" s="30"/>
      <c r="M89" s="30"/>
      <c r="N89" s="30"/>
      <c r="O89" s="30"/>
      <c r="P89" s="30"/>
      <c r="Q89" s="30"/>
      <c r="R89" s="30"/>
      <c r="S89" s="30"/>
      <c r="T89" s="30"/>
    </row>
    <row r="90" spans="1:20">
      <c r="A90" s="30"/>
      <c r="B90" s="30"/>
      <c r="C90" s="30"/>
      <c r="D90" s="30"/>
      <c r="E90" s="30"/>
      <c r="F90" s="30"/>
      <c r="G90" s="30"/>
      <c r="H90" s="30"/>
      <c r="I90" s="30"/>
      <c r="J90" s="30"/>
      <c r="K90" s="30"/>
      <c r="L90" s="30"/>
      <c r="M90" s="30"/>
      <c r="N90" s="30"/>
      <c r="O90" s="30"/>
      <c r="P90" s="30"/>
      <c r="Q90" s="30"/>
      <c r="R90" s="30"/>
      <c r="S90" s="30"/>
      <c r="T90" s="30"/>
    </row>
    <row r="91" spans="1:20">
      <c r="A91" s="30"/>
      <c r="B91" s="30"/>
      <c r="C91" s="30"/>
      <c r="D91" s="30"/>
      <c r="E91" s="30"/>
      <c r="F91" s="30"/>
      <c r="G91" s="30"/>
      <c r="H91" s="30"/>
      <c r="I91" s="30"/>
      <c r="J91" s="30"/>
      <c r="K91" s="30"/>
      <c r="L91" s="30"/>
      <c r="M91" s="30"/>
      <c r="N91" s="30"/>
      <c r="O91" s="30"/>
      <c r="P91" s="30"/>
      <c r="Q91" s="30"/>
      <c r="R91" s="30"/>
      <c r="S91" s="30"/>
      <c r="T91" s="30"/>
    </row>
    <row r="92" spans="1:20">
      <c r="A92" s="30"/>
      <c r="B92" s="30"/>
      <c r="C92" s="30"/>
      <c r="D92" s="30"/>
      <c r="E92" s="30"/>
      <c r="F92" s="30"/>
      <c r="G92" s="30"/>
      <c r="H92" s="30"/>
      <c r="I92" s="30"/>
      <c r="J92" s="30"/>
      <c r="K92" s="30"/>
      <c r="L92" s="30"/>
      <c r="M92" s="30"/>
      <c r="N92" s="30"/>
      <c r="O92" s="30"/>
      <c r="P92" s="30"/>
      <c r="Q92" s="30"/>
      <c r="R92" s="30"/>
      <c r="S92" s="30"/>
      <c r="T92" s="30"/>
    </row>
    <row r="93" spans="1:20">
      <c r="A93" s="30"/>
      <c r="B93" s="30"/>
      <c r="C93" s="30"/>
      <c r="D93" s="30"/>
      <c r="E93" s="30"/>
      <c r="F93" s="30"/>
      <c r="G93" s="30"/>
      <c r="H93" s="30"/>
      <c r="I93" s="30"/>
      <c r="J93" s="30"/>
      <c r="K93" s="30"/>
      <c r="L93" s="30"/>
      <c r="M93" s="30"/>
      <c r="N93" s="30"/>
      <c r="O93" s="30"/>
      <c r="P93" s="30"/>
      <c r="Q93" s="30"/>
      <c r="R93" s="30"/>
      <c r="S93" s="30"/>
      <c r="T93" s="30"/>
    </row>
    <row r="94" spans="1:20">
      <c r="A94" s="30"/>
      <c r="B94" s="30"/>
      <c r="C94" s="30"/>
      <c r="D94" s="30"/>
      <c r="E94" s="30"/>
      <c r="F94" s="30"/>
      <c r="G94" s="30"/>
      <c r="H94" s="30"/>
      <c r="I94" s="30"/>
      <c r="J94" s="30"/>
      <c r="K94" s="30"/>
      <c r="L94" s="30"/>
      <c r="M94" s="30"/>
      <c r="N94" s="30"/>
      <c r="O94" s="30"/>
      <c r="P94" s="30"/>
      <c r="Q94" s="30"/>
      <c r="R94" s="30"/>
      <c r="S94" s="30"/>
      <c r="T94" s="30"/>
    </row>
    <row r="95" spans="1:20">
      <c r="A95" s="30"/>
      <c r="B95" s="30"/>
      <c r="C95" s="30"/>
      <c r="D95" s="30"/>
      <c r="E95" s="30"/>
      <c r="F95" s="30"/>
      <c r="G95" s="30"/>
      <c r="H95" s="30"/>
      <c r="I95" s="30"/>
      <c r="J95" s="30"/>
      <c r="K95" s="30"/>
      <c r="L95" s="30"/>
      <c r="M95" s="30"/>
      <c r="N95" s="30"/>
      <c r="O95" s="30"/>
      <c r="P95" s="30"/>
      <c r="Q95" s="30"/>
      <c r="R95" s="30"/>
      <c r="S95" s="30"/>
      <c r="T95" s="30"/>
    </row>
    <row r="96" spans="1:20">
      <c r="A96" s="30"/>
      <c r="B96" s="30"/>
      <c r="C96" s="30"/>
      <c r="D96" s="30"/>
      <c r="E96" s="30"/>
      <c r="F96" s="30"/>
      <c r="G96" s="30"/>
      <c r="H96" s="30"/>
      <c r="I96" s="30"/>
      <c r="J96" s="30"/>
      <c r="K96" s="30"/>
      <c r="L96" s="30"/>
      <c r="M96" s="30"/>
      <c r="N96" s="30"/>
      <c r="O96" s="30"/>
      <c r="P96" s="30"/>
      <c r="Q96" s="30"/>
      <c r="R96" s="30"/>
      <c r="S96" s="30"/>
      <c r="T96" s="30"/>
    </row>
    <row r="97" spans="1:20">
      <c r="A97" s="30"/>
      <c r="B97" s="30"/>
      <c r="C97" s="30"/>
      <c r="D97" s="30"/>
      <c r="E97" s="30"/>
      <c r="F97" s="30"/>
      <c r="G97" s="30"/>
      <c r="H97" s="30"/>
      <c r="I97" s="30"/>
      <c r="J97" s="30"/>
      <c r="K97" s="30"/>
      <c r="L97" s="30"/>
      <c r="M97" s="30"/>
      <c r="N97" s="30"/>
      <c r="O97" s="30"/>
      <c r="P97" s="30"/>
      <c r="Q97" s="30"/>
      <c r="R97" s="30"/>
      <c r="S97" s="30"/>
      <c r="T97" s="30"/>
    </row>
    <row r="98" spans="1:20">
      <c r="A98" s="233" t="s">
        <v>1119</v>
      </c>
      <c r="B98" s="30"/>
      <c r="C98" s="30"/>
      <c r="D98" s="30"/>
      <c r="E98" s="30"/>
      <c r="F98" s="30"/>
      <c r="G98" s="30"/>
      <c r="H98" s="30"/>
      <c r="I98" s="30"/>
      <c r="J98" s="30"/>
      <c r="K98" s="233" t="s">
        <v>1119</v>
      </c>
      <c r="L98" s="30"/>
      <c r="M98" s="30"/>
      <c r="N98" s="30"/>
      <c r="O98" s="30"/>
      <c r="P98" s="30"/>
      <c r="Q98" s="30"/>
      <c r="R98" s="30"/>
      <c r="S98" s="30"/>
      <c r="T98" s="30"/>
    </row>
    <row r="99" spans="1:20" ht="14" customHeight="1">
      <c r="A99" s="30"/>
      <c r="B99" s="164" t="str">
        <f>Finance!K2</f>
        <v>Finance</v>
      </c>
      <c r="C99" s="164"/>
      <c r="D99" s="164"/>
      <c r="E99" s="164"/>
      <c r="F99" s="164"/>
      <c r="G99" s="164"/>
      <c r="H99" s="164"/>
      <c r="I99" s="164"/>
      <c r="J99" s="30"/>
      <c r="K99" s="227" t="s">
        <v>738</v>
      </c>
      <c r="L99" s="227"/>
      <c r="M99" s="227" t="s">
        <v>739</v>
      </c>
      <c r="N99" s="227"/>
      <c r="O99" s="227" t="s">
        <v>932</v>
      </c>
      <c r="P99" s="227"/>
      <c r="Q99" s="227"/>
      <c r="R99" s="227"/>
      <c r="S99" s="227"/>
      <c r="T99" s="227"/>
    </row>
    <row r="100" spans="1:20" ht="14" customHeight="1">
      <c r="A100" s="30"/>
      <c r="B100" s="164"/>
      <c r="C100" s="164"/>
      <c r="D100" s="164"/>
      <c r="E100" s="164"/>
      <c r="F100" s="164"/>
      <c r="G100" s="164"/>
      <c r="H100" s="164"/>
      <c r="I100" s="164"/>
      <c r="J100" s="30"/>
      <c r="K100" s="226" t="s">
        <v>748</v>
      </c>
      <c r="L100" s="228"/>
      <c r="M100" s="226" t="s">
        <v>751</v>
      </c>
      <c r="N100" s="229"/>
      <c r="O100" s="229" t="s">
        <v>1109</v>
      </c>
      <c r="P100" s="228"/>
      <c r="Q100" s="230"/>
      <c r="R100" s="230"/>
      <c r="S100" s="230"/>
      <c r="T100" s="228"/>
    </row>
    <row r="101" spans="1:20">
      <c r="A101" s="30"/>
      <c r="B101" s="30"/>
      <c r="C101" s="30"/>
      <c r="D101" s="30"/>
      <c r="E101" s="30"/>
      <c r="F101" s="30"/>
      <c r="G101" s="30"/>
      <c r="H101" s="30"/>
      <c r="I101" s="30"/>
      <c r="J101" s="30"/>
      <c r="K101" s="226" t="s">
        <v>748</v>
      </c>
      <c r="L101" s="228"/>
      <c r="M101" s="226" t="s">
        <v>750</v>
      </c>
      <c r="N101" s="229"/>
      <c r="O101" s="231" t="s">
        <v>750</v>
      </c>
      <c r="P101" s="228"/>
      <c r="Q101" s="228"/>
      <c r="R101" s="228"/>
      <c r="S101" s="228"/>
      <c r="T101" s="228"/>
    </row>
    <row r="102" spans="1:20">
      <c r="A102" s="30"/>
      <c r="B102" s="30"/>
      <c r="C102" s="30"/>
      <c r="D102" s="30"/>
      <c r="E102" s="30"/>
      <c r="F102" s="30"/>
      <c r="G102" s="30"/>
      <c r="H102" s="30"/>
      <c r="I102" s="30"/>
      <c r="J102" s="30"/>
      <c r="K102" s="226" t="s">
        <v>748</v>
      </c>
      <c r="L102" s="228"/>
      <c r="M102" s="226" t="s">
        <v>749</v>
      </c>
      <c r="N102" s="232"/>
      <c r="O102" s="231" t="s">
        <v>749</v>
      </c>
      <c r="P102" s="228"/>
      <c r="Q102" s="228"/>
      <c r="R102" s="228"/>
      <c r="S102" s="228"/>
      <c r="T102" s="228"/>
    </row>
    <row r="103" spans="1:20">
      <c r="A103" s="30"/>
      <c r="B103" s="30"/>
      <c r="C103" s="30"/>
      <c r="D103" s="30"/>
      <c r="E103" s="30"/>
      <c r="F103" s="30"/>
      <c r="G103" s="30"/>
      <c r="H103" s="30"/>
      <c r="I103" s="30"/>
      <c r="J103" s="30"/>
      <c r="K103" s="226" t="s">
        <v>740</v>
      </c>
      <c r="L103" s="228"/>
      <c r="M103" s="226" t="s">
        <v>741</v>
      </c>
      <c r="N103" s="232"/>
      <c r="O103" s="231" t="s">
        <v>1110</v>
      </c>
      <c r="P103" s="228"/>
      <c r="Q103" s="228"/>
      <c r="R103" s="228"/>
      <c r="S103" s="228"/>
      <c r="T103" s="228"/>
    </row>
    <row r="104" spans="1:20">
      <c r="A104" s="30"/>
      <c r="B104" s="30"/>
      <c r="C104" s="30"/>
      <c r="D104" s="30"/>
      <c r="E104" s="30"/>
      <c r="F104" s="30"/>
      <c r="G104" s="30"/>
      <c r="H104" s="30"/>
      <c r="I104" s="30"/>
      <c r="J104" s="30"/>
      <c r="K104" s="226" t="s">
        <v>745</v>
      </c>
      <c r="L104" s="228"/>
      <c r="M104" s="226" t="s">
        <v>747</v>
      </c>
      <c r="N104" s="232"/>
      <c r="O104" s="231" t="s">
        <v>1111</v>
      </c>
      <c r="P104" s="228"/>
      <c r="Q104" s="228"/>
      <c r="R104" s="228"/>
      <c r="S104" s="228"/>
      <c r="T104" s="228"/>
    </row>
    <row r="105" spans="1:20">
      <c r="A105" s="30"/>
      <c r="B105" s="30"/>
      <c r="C105" s="30"/>
      <c r="D105" s="30"/>
      <c r="E105" s="30"/>
      <c r="F105" s="30"/>
      <c r="G105" s="30"/>
      <c r="H105" s="30"/>
      <c r="I105" s="30"/>
      <c r="J105" s="30"/>
      <c r="K105" s="226" t="s">
        <v>745</v>
      </c>
      <c r="L105" s="228"/>
      <c r="M105" s="226" t="s">
        <v>746</v>
      </c>
      <c r="N105" s="232"/>
      <c r="O105" s="231" t="s">
        <v>1112</v>
      </c>
      <c r="P105" s="228"/>
      <c r="Q105" s="228"/>
      <c r="R105" s="228"/>
      <c r="S105" s="228"/>
      <c r="T105" s="228"/>
    </row>
    <row r="106" spans="1:20">
      <c r="A106" s="30"/>
      <c r="B106" s="30"/>
      <c r="C106" s="30"/>
      <c r="D106" s="30"/>
      <c r="E106" s="30"/>
      <c r="F106" s="30"/>
      <c r="G106" s="30"/>
      <c r="H106" s="30"/>
      <c r="I106" s="30"/>
      <c r="J106" s="30"/>
      <c r="K106" s="226" t="s">
        <v>742</v>
      </c>
      <c r="L106" s="228"/>
      <c r="M106" s="226" t="s">
        <v>743</v>
      </c>
      <c r="N106" s="232"/>
      <c r="O106" s="231" t="s">
        <v>1113</v>
      </c>
      <c r="P106" s="228"/>
      <c r="Q106" s="228"/>
      <c r="R106" s="228"/>
      <c r="S106" s="228"/>
      <c r="T106" s="228"/>
    </row>
    <row r="107" spans="1:20">
      <c r="A107" s="30"/>
      <c r="B107" s="30"/>
      <c r="C107" s="30"/>
      <c r="D107" s="30"/>
      <c r="E107" s="30"/>
      <c r="F107" s="30"/>
      <c r="G107" s="30"/>
      <c r="H107" s="30"/>
      <c r="I107" s="30"/>
      <c r="J107" s="30"/>
      <c r="K107" s="226" t="s">
        <v>752</v>
      </c>
      <c r="L107" s="228"/>
      <c r="M107" s="226" t="s">
        <v>753</v>
      </c>
      <c r="N107" s="232"/>
      <c r="O107" s="231" t="s">
        <v>1114</v>
      </c>
      <c r="P107" s="228"/>
      <c r="Q107" s="228"/>
      <c r="R107" s="228"/>
      <c r="S107" s="228"/>
      <c r="T107" s="228"/>
    </row>
    <row r="108" spans="1:20">
      <c r="A108" s="30"/>
      <c r="B108" s="30"/>
      <c r="C108" s="30"/>
      <c r="D108" s="30"/>
      <c r="E108" s="30"/>
      <c r="F108" s="30"/>
      <c r="G108" s="30"/>
      <c r="H108" s="30"/>
      <c r="I108" s="30"/>
      <c r="J108" s="30"/>
      <c r="K108" s="226" t="s">
        <v>742</v>
      </c>
      <c r="L108" s="228"/>
      <c r="M108" s="226" t="s">
        <v>744</v>
      </c>
      <c r="N108" s="232"/>
      <c r="O108" s="231" t="s">
        <v>1115</v>
      </c>
      <c r="P108" s="228"/>
      <c r="Q108" s="228"/>
      <c r="R108" s="228"/>
      <c r="S108" s="228"/>
      <c r="T108" s="228"/>
    </row>
    <row r="109" spans="1:20">
      <c r="A109" s="30"/>
      <c r="B109" s="30"/>
      <c r="C109" s="30"/>
      <c r="D109" s="30"/>
      <c r="E109" s="30"/>
      <c r="F109" s="30"/>
      <c r="G109" s="30"/>
      <c r="H109" s="30"/>
      <c r="I109" s="30"/>
      <c r="J109" s="30"/>
      <c r="K109" s="226"/>
      <c r="L109" s="226"/>
      <c r="M109" s="226"/>
      <c r="N109" s="226"/>
      <c r="O109" s="228"/>
      <c r="P109" s="228"/>
      <c r="Q109" s="228"/>
      <c r="R109" s="228"/>
      <c r="S109" s="228"/>
      <c r="T109" s="228"/>
    </row>
    <row r="110" spans="1:20">
      <c r="A110" s="30"/>
      <c r="B110" s="30"/>
      <c r="C110" s="30"/>
      <c r="D110" s="30"/>
      <c r="E110" s="30"/>
      <c r="F110" s="30"/>
      <c r="G110" s="30"/>
      <c r="H110" s="30"/>
      <c r="I110" s="30"/>
      <c r="J110" s="30"/>
      <c r="K110" s="226" t="s">
        <v>933</v>
      </c>
      <c r="L110" s="226"/>
      <c r="M110" s="226"/>
      <c r="N110" s="226"/>
      <c r="O110" s="228"/>
      <c r="P110" s="228"/>
      <c r="Q110" s="228"/>
      <c r="R110" s="228"/>
      <c r="S110" s="228"/>
      <c r="T110" s="228"/>
    </row>
    <row r="111" spans="1:20">
      <c r="A111" s="30"/>
      <c r="B111" s="30"/>
      <c r="C111" s="30"/>
      <c r="D111" s="30"/>
      <c r="E111" s="30"/>
      <c r="F111" s="30"/>
      <c r="G111" s="30"/>
      <c r="H111" s="30"/>
      <c r="I111" s="30"/>
      <c r="J111" s="30"/>
      <c r="K111" s="226"/>
      <c r="L111" s="226"/>
      <c r="M111" s="226"/>
      <c r="N111" s="226"/>
      <c r="O111" s="228"/>
      <c r="P111" s="228"/>
      <c r="Q111" s="228"/>
      <c r="R111" s="228"/>
      <c r="S111" s="228"/>
      <c r="T111" s="228"/>
    </row>
    <row r="112" spans="1:20">
      <c r="A112" s="30"/>
      <c r="B112" s="30"/>
      <c r="C112" s="30"/>
      <c r="D112" s="30"/>
      <c r="E112" s="30"/>
      <c r="F112" s="30"/>
      <c r="G112" s="30"/>
      <c r="H112" s="30"/>
      <c r="I112" s="30"/>
      <c r="J112" s="30"/>
      <c r="K112" s="227" t="s">
        <v>931</v>
      </c>
      <c r="L112" s="227"/>
      <c r="M112" s="227" t="s">
        <v>932</v>
      </c>
      <c r="N112" s="227"/>
      <c r="O112" s="227" t="s">
        <v>932</v>
      </c>
      <c r="P112" s="227"/>
      <c r="Q112" s="227"/>
      <c r="R112" s="227"/>
      <c r="S112" s="227"/>
      <c r="T112" s="227"/>
    </row>
    <row r="113" spans="1:20">
      <c r="A113" s="30"/>
      <c r="B113" s="30"/>
      <c r="C113" s="30"/>
      <c r="D113" s="30"/>
      <c r="E113" s="30"/>
      <c r="F113" s="30"/>
      <c r="G113" s="30"/>
      <c r="H113" s="30"/>
      <c r="I113" s="30"/>
      <c r="J113" s="30"/>
      <c r="K113" s="226" t="s">
        <v>935</v>
      </c>
      <c r="L113" s="226"/>
      <c r="M113" s="226" t="s">
        <v>752</v>
      </c>
      <c r="N113" s="232"/>
      <c r="O113" s="229" t="s">
        <v>1114</v>
      </c>
      <c r="P113" s="228"/>
      <c r="Q113" s="228"/>
      <c r="R113" s="228"/>
      <c r="S113" s="228"/>
      <c r="T113" s="228"/>
    </row>
    <row r="114" spans="1:20">
      <c r="A114" s="30"/>
      <c r="B114" s="30"/>
      <c r="C114" s="30"/>
      <c r="D114" s="30"/>
      <c r="E114" s="30"/>
      <c r="F114" s="30"/>
      <c r="G114" s="30"/>
      <c r="H114" s="30"/>
      <c r="I114" s="30"/>
      <c r="J114" s="30"/>
      <c r="K114" s="226" t="s">
        <v>936</v>
      </c>
      <c r="L114" s="226"/>
      <c r="M114" s="226" t="s">
        <v>938</v>
      </c>
      <c r="N114" s="232"/>
      <c r="O114" s="229" t="s">
        <v>1116</v>
      </c>
      <c r="P114" s="228"/>
      <c r="Q114" s="228"/>
      <c r="R114" s="228"/>
      <c r="S114" s="228"/>
      <c r="T114" s="228"/>
    </row>
    <row r="115" spans="1:20">
      <c r="A115" s="30"/>
      <c r="B115" s="30"/>
      <c r="C115" s="30"/>
      <c r="D115" s="30"/>
      <c r="E115" s="30"/>
      <c r="F115" s="30"/>
      <c r="G115" s="30"/>
      <c r="H115" s="30"/>
      <c r="I115" s="30"/>
      <c r="J115" s="30"/>
      <c r="K115" s="30"/>
      <c r="L115" s="30"/>
      <c r="M115" s="30"/>
      <c r="N115" s="30"/>
      <c r="O115" s="30"/>
      <c r="P115" s="30"/>
      <c r="Q115" s="30"/>
      <c r="R115" s="30"/>
      <c r="S115" s="30"/>
      <c r="T115" s="30"/>
    </row>
    <row r="116" spans="1:20">
      <c r="A116" s="30"/>
      <c r="B116" s="30"/>
      <c r="C116" s="30"/>
      <c r="D116" s="30"/>
      <c r="E116" s="30"/>
      <c r="F116" s="30"/>
      <c r="G116" s="30"/>
      <c r="H116" s="30"/>
      <c r="I116" s="30"/>
      <c r="J116" s="30"/>
      <c r="K116" s="30"/>
      <c r="L116" s="30"/>
      <c r="M116" s="30"/>
      <c r="N116" s="30"/>
      <c r="O116" s="30"/>
      <c r="P116" s="30"/>
      <c r="Q116" s="30"/>
      <c r="R116" s="30"/>
      <c r="S116" s="30"/>
      <c r="T116" s="30"/>
    </row>
    <row r="117" spans="1:20">
      <c r="A117" s="30"/>
      <c r="B117" s="30"/>
      <c r="C117" s="30"/>
      <c r="D117" s="30"/>
      <c r="E117" s="30"/>
      <c r="F117" s="30"/>
      <c r="G117" s="30"/>
      <c r="H117" s="30"/>
      <c r="I117" s="30"/>
      <c r="J117" s="30"/>
      <c r="K117" s="30"/>
      <c r="L117" s="30"/>
      <c r="M117" s="30"/>
      <c r="N117" s="30"/>
      <c r="O117" s="30"/>
      <c r="P117" s="30"/>
      <c r="Q117" s="30"/>
      <c r="R117" s="30"/>
      <c r="S117" s="30"/>
      <c r="T117" s="30"/>
    </row>
    <row r="118" spans="1:20">
      <c r="A118" s="30"/>
      <c r="B118" s="30"/>
      <c r="C118" s="30"/>
      <c r="D118" s="30"/>
      <c r="E118" s="30"/>
      <c r="F118" s="30"/>
      <c r="G118" s="30"/>
      <c r="H118" s="30"/>
      <c r="I118" s="30"/>
      <c r="J118" s="30"/>
      <c r="K118" s="30"/>
      <c r="L118" s="30"/>
      <c r="M118" s="30"/>
      <c r="N118" s="30"/>
      <c r="O118" s="30"/>
      <c r="P118" s="30"/>
      <c r="Q118" s="30"/>
      <c r="R118" s="30"/>
      <c r="S118" s="30"/>
      <c r="T118" s="30"/>
    </row>
    <row r="119" spans="1:20">
      <c r="A119" s="30"/>
      <c r="B119" s="30"/>
      <c r="C119" s="30"/>
      <c r="D119" s="30"/>
      <c r="E119" s="30"/>
      <c r="F119" s="30"/>
      <c r="G119" s="30"/>
      <c r="H119" s="30"/>
      <c r="I119" s="30"/>
      <c r="J119" s="30"/>
      <c r="K119" s="30"/>
      <c r="L119" s="30"/>
      <c r="M119" s="30"/>
      <c r="N119" s="30"/>
      <c r="O119" s="30"/>
      <c r="P119" s="30"/>
      <c r="Q119" s="30"/>
      <c r="R119" s="30"/>
      <c r="S119" s="30"/>
      <c r="T119" s="30"/>
    </row>
    <row r="120" spans="1:20">
      <c r="A120" s="30"/>
      <c r="B120" s="30"/>
      <c r="C120" s="30"/>
      <c r="D120" s="30"/>
      <c r="E120" s="30"/>
      <c r="F120" s="30"/>
      <c r="G120" s="30"/>
      <c r="H120" s="30"/>
      <c r="I120" s="30"/>
      <c r="J120" s="30"/>
      <c r="K120" s="30"/>
      <c r="L120" s="30"/>
      <c r="M120" s="30"/>
      <c r="N120" s="30"/>
      <c r="O120" s="30"/>
      <c r="P120" s="30"/>
      <c r="Q120" s="30"/>
      <c r="R120" s="30"/>
      <c r="S120" s="30"/>
      <c r="T120" s="30"/>
    </row>
    <row r="121" spans="1:20">
      <c r="A121" s="30"/>
      <c r="B121" s="30"/>
      <c r="C121" s="30"/>
      <c r="D121" s="30"/>
      <c r="E121" s="30"/>
      <c r="F121" s="30"/>
      <c r="G121" s="30"/>
      <c r="H121" s="30"/>
      <c r="I121" s="30"/>
      <c r="J121" s="30"/>
      <c r="K121" s="30"/>
      <c r="L121" s="30"/>
      <c r="M121" s="30"/>
      <c r="N121" s="30"/>
      <c r="O121" s="30"/>
      <c r="P121" s="30"/>
      <c r="Q121" s="30"/>
      <c r="R121" s="30"/>
      <c r="S121" s="30"/>
      <c r="T121" s="30"/>
    </row>
    <row r="122" spans="1:20">
      <c r="A122" s="30"/>
      <c r="B122" s="30"/>
      <c r="C122" s="30"/>
      <c r="D122" s="30"/>
      <c r="E122" s="30"/>
      <c r="F122" s="30"/>
      <c r="G122" s="30"/>
      <c r="H122" s="30"/>
      <c r="I122" s="30"/>
      <c r="J122" s="30"/>
      <c r="K122" s="30"/>
      <c r="L122" s="30"/>
      <c r="M122" s="30"/>
      <c r="N122" s="30"/>
      <c r="O122" s="30"/>
      <c r="P122" s="30"/>
      <c r="Q122" s="30"/>
      <c r="R122" s="30"/>
      <c r="S122" s="30"/>
      <c r="T122" s="30"/>
    </row>
    <row r="123" spans="1:20">
      <c r="A123" s="30"/>
      <c r="B123" s="30"/>
      <c r="C123" s="30"/>
      <c r="D123" s="30"/>
      <c r="E123" s="30"/>
      <c r="F123" s="30"/>
      <c r="G123" s="30"/>
      <c r="H123" s="30"/>
      <c r="I123" s="30"/>
      <c r="J123" s="30"/>
      <c r="K123" s="30"/>
      <c r="L123" s="30"/>
      <c r="M123" s="30"/>
      <c r="N123" s="30"/>
      <c r="O123" s="30"/>
      <c r="P123" s="30"/>
      <c r="Q123" s="30"/>
      <c r="R123" s="30"/>
      <c r="S123" s="30"/>
      <c r="T123" s="30"/>
    </row>
    <row r="124" spans="1:20">
      <c r="A124" s="30"/>
      <c r="B124" s="30"/>
      <c r="C124" s="30"/>
      <c r="D124" s="30"/>
      <c r="E124" s="30"/>
      <c r="F124" s="30"/>
      <c r="G124" s="30"/>
      <c r="H124" s="30"/>
      <c r="I124" s="30"/>
      <c r="J124" s="30"/>
      <c r="K124" s="30"/>
      <c r="L124" s="30"/>
      <c r="M124" s="30"/>
      <c r="N124" s="30"/>
      <c r="O124" s="30"/>
      <c r="P124" s="30"/>
      <c r="Q124" s="30"/>
      <c r="R124" s="30"/>
      <c r="S124" s="30"/>
      <c r="T124" s="30"/>
    </row>
    <row r="125" spans="1:20">
      <c r="A125" s="30"/>
      <c r="B125" s="30"/>
      <c r="C125" s="30"/>
      <c r="D125" s="30"/>
      <c r="E125" s="30"/>
      <c r="F125" s="30"/>
      <c r="G125" s="30"/>
      <c r="H125" s="30"/>
      <c r="I125" s="30"/>
      <c r="J125" s="30"/>
      <c r="K125" s="30"/>
      <c r="L125" s="30"/>
      <c r="M125" s="30"/>
      <c r="N125" s="30"/>
      <c r="O125" s="30"/>
      <c r="P125" s="30"/>
      <c r="Q125" s="30"/>
      <c r="R125" s="30"/>
      <c r="S125" s="30"/>
      <c r="T125" s="30"/>
    </row>
    <row r="126" spans="1:20">
      <c r="A126" s="30"/>
      <c r="B126" s="30"/>
      <c r="C126" s="30"/>
      <c r="D126" s="30"/>
      <c r="E126" s="30"/>
      <c r="F126" s="30"/>
      <c r="G126" s="30"/>
      <c r="H126" s="30"/>
      <c r="I126" s="30"/>
      <c r="J126" s="30"/>
      <c r="K126" s="30"/>
      <c r="L126" s="30"/>
      <c r="M126" s="30"/>
      <c r="N126" s="30"/>
      <c r="O126" s="30"/>
      <c r="P126" s="30"/>
      <c r="Q126" s="30"/>
      <c r="R126" s="30"/>
      <c r="S126" s="30"/>
      <c r="T126" s="30"/>
    </row>
    <row r="127" spans="1:20">
      <c r="A127" s="30"/>
      <c r="B127" s="30"/>
      <c r="C127" s="30"/>
      <c r="D127" s="30"/>
      <c r="E127" s="30"/>
      <c r="G127" s="30"/>
      <c r="H127" s="30"/>
      <c r="I127" s="30"/>
      <c r="J127" s="30"/>
      <c r="K127" s="30"/>
      <c r="L127" s="30"/>
      <c r="M127" s="30"/>
      <c r="N127" s="30"/>
      <c r="O127" s="30"/>
      <c r="P127" s="30"/>
      <c r="Q127" s="30"/>
      <c r="R127" s="30"/>
      <c r="S127" s="30"/>
      <c r="T127" s="30"/>
    </row>
    <row r="128" spans="1:20">
      <c r="A128" s="30"/>
      <c r="B128" s="30"/>
      <c r="C128" s="30"/>
      <c r="D128" s="30"/>
      <c r="E128" s="30"/>
      <c r="F128" s="30"/>
      <c r="G128" s="30"/>
      <c r="H128" s="30"/>
      <c r="I128" s="30"/>
      <c r="J128" s="30"/>
      <c r="K128" s="30"/>
      <c r="L128" s="30"/>
      <c r="M128" s="30"/>
      <c r="N128" s="30"/>
      <c r="O128" s="30"/>
      <c r="P128" s="30"/>
      <c r="Q128" s="30"/>
      <c r="R128" s="30"/>
      <c r="S128" s="30"/>
      <c r="T128" s="30"/>
    </row>
    <row r="129" spans="1:20">
      <c r="A129" s="30"/>
      <c r="B129" s="30"/>
      <c r="C129" s="30"/>
      <c r="D129" s="30"/>
      <c r="E129" s="30"/>
      <c r="F129" s="30"/>
      <c r="G129" s="30"/>
      <c r="H129" s="30"/>
      <c r="I129" s="30"/>
      <c r="J129" s="30"/>
      <c r="K129" s="30"/>
      <c r="L129" s="30"/>
      <c r="M129" s="30"/>
      <c r="N129" s="30"/>
      <c r="O129" s="30"/>
      <c r="P129" s="30"/>
      <c r="Q129" s="30"/>
      <c r="R129" s="30"/>
      <c r="S129" s="30"/>
      <c r="T129" s="30"/>
    </row>
    <row r="130" spans="1:20">
      <c r="A130" s="30"/>
      <c r="B130" s="30"/>
      <c r="C130" s="30"/>
      <c r="D130" s="30"/>
      <c r="E130" s="30"/>
      <c r="F130" s="30"/>
      <c r="G130" s="30"/>
      <c r="H130" s="30"/>
      <c r="I130" s="30"/>
      <c r="J130" s="30"/>
      <c r="K130" s="30"/>
      <c r="L130" s="30"/>
      <c r="M130" s="30"/>
      <c r="N130" s="30"/>
      <c r="O130" s="30"/>
      <c r="P130" s="30"/>
      <c r="Q130" s="30"/>
      <c r="R130" s="30"/>
      <c r="S130" s="30"/>
      <c r="T130" s="30"/>
    </row>
    <row r="131" spans="1:20">
      <c r="A131" s="30"/>
      <c r="B131" s="30"/>
      <c r="C131" s="30"/>
      <c r="D131" s="30"/>
      <c r="E131" s="30"/>
      <c r="F131" s="30"/>
      <c r="G131" s="30"/>
      <c r="H131" s="30"/>
      <c r="I131" s="30"/>
      <c r="J131" s="30"/>
      <c r="K131" s="30"/>
      <c r="L131" s="30"/>
      <c r="M131" s="30"/>
      <c r="N131" s="30"/>
      <c r="O131" s="30"/>
      <c r="P131" s="30"/>
      <c r="Q131" s="30"/>
      <c r="R131" s="30"/>
      <c r="S131" s="30"/>
      <c r="T131" s="30"/>
    </row>
    <row r="132" spans="1:20">
      <c r="A132" s="30"/>
      <c r="B132" s="30"/>
      <c r="C132" s="30"/>
      <c r="D132" s="30"/>
      <c r="E132" s="30"/>
      <c r="F132" s="30"/>
      <c r="G132" s="30"/>
      <c r="H132" s="30"/>
      <c r="I132" s="30"/>
      <c r="J132" s="30"/>
      <c r="K132" s="30"/>
      <c r="L132" s="30"/>
      <c r="M132" s="30"/>
      <c r="N132" s="30"/>
      <c r="O132" s="30"/>
      <c r="P132" s="30"/>
      <c r="Q132" s="30"/>
      <c r="R132" s="30"/>
      <c r="S132" s="30"/>
      <c r="T132" s="30"/>
    </row>
    <row r="133" spans="1:20" ht="16.5" customHeight="1">
      <c r="A133" s="30"/>
      <c r="B133" s="30"/>
      <c r="C133" s="30"/>
      <c r="D133" s="30"/>
      <c r="E133" s="30"/>
      <c r="F133" s="30"/>
      <c r="G133" s="30"/>
      <c r="H133" s="30"/>
      <c r="I133" s="30"/>
      <c r="J133" s="30"/>
      <c r="K133" s="30"/>
      <c r="L133" s="30"/>
      <c r="M133" s="30"/>
      <c r="N133" s="30"/>
      <c r="O133" s="30"/>
      <c r="P133" s="30"/>
      <c r="Q133" s="30"/>
      <c r="R133" s="30"/>
      <c r="S133" s="30"/>
      <c r="T133" s="30"/>
    </row>
    <row r="134" spans="1:20">
      <c r="A134" s="30"/>
      <c r="B134" s="30"/>
      <c r="C134" s="30"/>
      <c r="D134" s="30"/>
      <c r="E134" s="30"/>
      <c r="F134" s="30"/>
      <c r="G134" s="30"/>
      <c r="H134" s="30"/>
      <c r="I134" s="30"/>
      <c r="J134" s="30"/>
      <c r="K134" s="30"/>
      <c r="L134" s="30"/>
      <c r="M134" s="30"/>
      <c r="N134" s="30"/>
      <c r="O134" s="30"/>
      <c r="P134" s="30"/>
      <c r="Q134" s="30"/>
      <c r="R134" s="30"/>
      <c r="S134" s="30"/>
      <c r="T134" s="30"/>
    </row>
    <row r="135" spans="1:20">
      <c r="A135" s="30"/>
      <c r="B135" s="30"/>
      <c r="C135" s="30"/>
      <c r="D135" s="30"/>
      <c r="E135" s="30"/>
      <c r="F135" s="30"/>
      <c r="G135" s="30"/>
      <c r="H135" s="30"/>
      <c r="I135" s="30"/>
      <c r="J135" s="30"/>
      <c r="K135" s="30"/>
      <c r="L135" s="30"/>
      <c r="M135" s="30"/>
      <c r="N135" s="30"/>
      <c r="O135" s="30"/>
      <c r="P135" s="30"/>
      <c r="Q135" s="30"/>
      <c r="R135" s="30"/>
      <c r="S135" s="30"/>
      <c r="T135" s="30"/>
    </row>
    <row r="136" spans="1:20">
      <c r="A136" s="30"/>
      <c r="B136" s="30"/>
      <c r="C136" s="30"/>
      <c r="D136" s="30"/>
      <c r="E136" s="30"/>
      <c r="F136" s="30"/>
      <c r="G136" s="30"/>
      <c r="H136" s="30"/>
      <c r="I136" s="30"/>
      <c r="J136" s="30"/>
      <c r="K136" s="30"/>
      <c r="L136" s="30"/>
      <c r="M136" s="30"/>
      <c r="N136" s="30"/>
      <c r="O136" s="30"/>
      <c r="P136" s="30"/>
      <c r="Q136" s="30"/>
      <c r="R136" s="30"/>
      <c r="S136" s="30"/>
      <c r="T136" s="30"/>
    </row>
    <row r="137" spans="1:20">
      <c r="A137" s="30"/>
      <c r="B137" s="30"/>
      <c r="C137" s="30"/>
      <c r="D137" s="30"/>
      <c r="E137" s="30"/>
      <c r="F137" s="30"/>
      <c r="G137" s="30"/>
      <c r="H137" s="30"/>
      <c r="I137" s="30"/>
      <c r="J137" s="30"/>
      <c r="K137" s="30"/>
      <c r="L137" s="30"/>
      <c r="M137" s="30"/>
      <c r="N137" s="30"/>
      <c r="O137" s="30"/>
      <c r="P137" s="30"/>
      <c r="Q137" s="30"/>
      <c r="R137" s="30"/>
      <c r="S137" s="30"/>
      <c r="T137" s="30"/>
    </row>
    <row r="138" spans="1:20">
      <c r="A138" s="30"/>
      <c r="B138" s="30"/>
      <c r="C138" s="30"/>
      <c r="D138" s="30"/>
      <c r="E138" s="30"/>
      <c r="F138" s="30"/>
      <c r="G138" s="30"/>
      <c r="H138" s="30"/>
      <c r="I138" s="30"/>
      <c r="J138" s="30"/>
      <c r="K138" s="30"/>
      <c r="L138" s="30"/>
      <c r="M138" s="30"/>
      <c r="N138" s="30"/>
      <c r="O138" s="30"/>
      <c r="P138" s="30"/>
      <c r="Q138" s="30"/>
      <c r="R138" s="30"/>
      <c r="S138" s="30"/>
      <c r="T138" s="30"/>
    </row>
    <row r="139" spans="1:20">
      <c r="A139" s="30"/>
      <c r="B139" s="30"/>
      <c r="C139" s="30"/>
      <c r="D139" s="30"/>
      <c r="E139" s="30"/>
      <c r="F139" s="30"/>
      <c r="G139" s="30"/>
      <c r="H139" s="30"/>
      <c r="I139" s="30"/>
      <c r="J139" s="30"/>
      <c r="K139" s="30"/>
      <c r="L139" s="30"/>
      <c r="M139" s="30"/>
      <c r="N139" s="30"/>
      <c r="O139" s="30"/>
      <c r="P139" s="30"/>
      <c r="Q139" s="30"/>
      <c r="R139" s="30"/>
      <c r="S139" s="30"/>
      <c r="T139" s="30"/>
    </row>
    <row r="140" spans="1:20">
      <c r="A140" s="30"/>
      <c r="B140" s="30"/>
      <c r="C140" s="30"/>
      <c r="D140" s="30"/>
      <c r="E140" s="30"/>
      <c r="F140" s="30"/>
      <c r="G140" s="30"/>
      <c r="H140" s="30"/>
      <c r="I140" s="30"/>
      <c r="J140" s="30"/>
      <c r="K140" s="30"/>
      <c r="L140" s="30"/>
      <c r="M140" s="30"/>
      <c r="N140" s="30"/>
      <c r="O140" s="30"/>
      <c r="P140" s="30"/>
      <c r="Q140" s="30"/>
      <c r="R140" s="30"/>
      <c r="S140" s="30"/>
      <c r="T140" s="30"/>
    </row>
    <row r="141" spans="1:20">
      <c r="A141" s="30"/>
      <c r="B141" s="30"/>
      <c r="C141" s="30"/>
      <c r="D141" s="30"/>
      <c r="E141" s="30"/>
      <c r="F141" s="30"/>
      <c r="G141" s="30"/>
      <c r="H141" s="30"/>
      <c r="I141" s="30"/>
      <c r="J141" s="30"/>
      <c r="K141" s="30"/>
      <c r="L141" s="30"/>
      <c r="M141" s="30"/>
      <c r="N141" s="30"/>
      <c r="O141" s="30"/>
      <c r="P141" s="30"/>
      <c r="Q141" s="30"/>
      <c r="R141" s="30"/>
      <c r="S141" s="30"/>
      <c r="T141" s="30"/>
    </row>
    <row r="142" spans="1:20">
      <c r="A142" s="30"/>
      <c r="B142" s="30"/>
      <c r="C142" s="30"/>
      <c r="D142" s="30"/>
      <c r="E142" s="30"/>
      <c r="F142" s="30"/>
      <c r="G142" s="30"/>
      <c r="H142" s="30"/>
      <c r="I142" s="30"/>
      <c r="J142" s="30"/>
      <c r="K142" s="30"/>
      <c r="L142" s="30"/>
      <c r="M142" s="30"/>
      <c r="N142" s="30"/>
      <c r="O142" s="30"/>
      <c r="P142" s="30"/>
      <c r="Q142" s="30"/>
      <c r="R142" s="30"/>
      <c r="S142" s="30"/>
      <c r="T142" s="30"/>
    </row>
    <row r="143" spans="1:20">
      <c r="A143" s="30"/>
      <c r="B143" s="30"/>
      <c r="C143" s="30"/>
      <c r="D143" s="30"/>
      <c r="E143" s="30"/>
      <c r="F143" s="30"/>
      <c r="G143" s="30"/>
      <c r="H143" s="30"/>
      <c r="I143" s="30"/>
      <c r="J143" s="30"/>
      <c r="K143" s="30"/>
      <c r="L143" s="30"/>
      <c r="M143" s="30"/>
      <c r="N143" s="30"/>
      <c r="O143" s="30"/>
      <c r="P143" s="30"/>
      <c r="Q143" s="30"/>
      <c r="R143" s="30"/>
      <c r="S143" s="30"/>
      <c r="T143" s="30"/>
    </row>
    <row r="144" spans="1:20">
      <c r="A144" s="233" t="s">
        <v>1120</v>
      </c>
      <c r="B144" s="30"/>
      <c r="C144" s="30"/>
      <c r="D144" s="30"/>
      <c r="E144" s="30"/>
      <c r="F144" s="30"/>
      <c r="G144" s="30"/>
      <c r="H144" s="30"/>
      <c r="I144" s="30"/>
      <c r="J144" s="30"/>
      <c r="K144" s="30"/>
      <c r="L144" s="30"/>
      <c r="M144" s="30"/>
      <c r="N144" s="30"/>
      <c r="O144" s="30"/>
      <c r="P144" s="30"/>
      <c r="Q144" s="30"/>
      <c r="R144" s="30"/>
      <c r="S144" s="30"/>
      <c r="T144" s="30"/>
    </row>
    <row r="145" spans="1:20">
      <c r="A145" s="30"/>
      <c r="B145" s="30"/>
      <c r="C145" s="30"/>
      <c r="D145" s="30"/>
      <c r="E145" s="30"/>
      <c r="F145" s="30"/>
      <c r="G145" s="30"/>
      <c r="H145" s="30"/>
      <c r="I145" s="30"/>
      <c r="J145" s="30"/>
      <c r="K145" s="30"/>
      <c r="L145" s="30"/>
      <c r="M145" s="30"/>
      <c r="N145" s="30"/>
      <c r="O145" s="30"/>
      <c r="P145" s="30"/>
      <c r="Q145" s="30"/>
      <c r="R145" s="30"/>
      <c r="S145" s="30"/>
      <c r="T145" s="30"/>
    </row>
  </sheetData>
  <mergeCells count="16">
    <mergeCell ref="A10:D12"/>
    <mergeCell ref="A13:D15"/>
    <mergeCell ref="K6:P9"/>
    <mergeCell ref="L1:S2"/>
    <mergeCell ref="B99:I100"/>
    <mergeCell ref="F31:I36"/>
    <mergeCell ref="A18:E18"/>
    <mergeCell ref="B1:I2"/>
    <mergeCell ref="F7:J7"/>
    <mergeCell ref="F5:J5"/>
    <mergeCell ref="B5:D7"/>
    <mergeCell ref="L50:S51"/>
    <mergeCell ref="L10:M15"/>
    <mergeCell ref="O10:P15"/>
    <mergeCell ref="N11:N14"/>
    <mergeCell ref="B50:I51"/>
  </mergeCells>
  <conditionalFormatting sqref="L109:L111 M99:M108 L113:L114">
    <cfRule type="duplicateValues" dxfId="3" priority="4"/>
  </conditionalFormatting>
  <conditionalFormatting sqref="O99">
    <cfRule type="duplicateValues" dxfId="2" priority="3"/>
  </conditionalFormatting>
  <conditionalFormatting sqref="M113:M114">
    <cfRule type="duplicateValues" dxfId="0" priority="1"/>
  </conditionalFormatting>
  <hyperlinks>
    <hyperlink ref="O100" r:id="rId1" display="https://www.ons.gov.uk/peoplepopulationandcommunity/populationandmigration/populationestimates/bulletins/annualmidyearpopulationestimates/latest" xr:uid="{E8725F49-48E6-4EB6-A4AE-55C53F15F600}"/>
    <hyperlink ref="O101" r:id="rId2" display="ONS — Health and life expectancies" xr:uid="{9B1514D8-1B65-43FF-8EC9-D664C25B4ED9}"/>
    <hyperlink ref="O102" r:id="rId3" display="ONS — Census" xr:uid="{29F1057A-BCE0-47CB-AE75-82B4B0D93287}"/>
    <hyperlink ref="O103" r:id="rId4" display="CQC — Care directory data" xr:uid="{5F3808CC-5708-46B3-9CFB-08881BA8749C}"/>
    <hyperlink ref="O104" r:id="rId5" display="GOV.UK — Revenue outturn RO3 (2024/25)" xr:uid="{88730170-CFF7-48AB-839B-080BF6A36717}"/>
    <hyperlink ref="O105" r:id="rId6" display="GOV.UK — Revenue outturn summary RS (2024/25)" xr:uid="{3100BAE0-DD65-4584-92F6-06EB088DD8AB}"/>
    <hyperlink ref="O106" r:id="rId7" display="GOV.UK — Adult social care activity report (2024/25)" xr:uid="{4185676F-1522-480A-81DE-220ABEEF8ACF}"/>
    <hyperlink ref="O107" r:id="rId8" display="Skills for Care — State of the sector report 2025" xr:uid="{668A20F9-E399-46FB-8E6C-78014D33B9EF}"/>
    <hyperlink ref="O108" r:id="rId9" display="GOV.UK — Adult Social Care Outcomes Framework (2024/25)" xr:uid="{0DB0B8DF-E467-42C3-B9DE-3A9577E79155}"/>
    <hyperlink ref="O113" r:id="rId10" display="Skills for Care — State of the sector report 2025" xr:uid="{3046E7F0-1F74-459A-AB4F-7CD9C5ED7F15}"/>
    <hyperlink ref="O114" r:id="rId11" display="Carers UK — Valuing Carers 2021/22" xr:uid="{B270A838-5B4B-4EF2-8B0E-988F36282155}"/>
  </hyperlinks>
  <pageMargins left="0.7" right="0.7" top="0.75" bottom="0.75" header="0.3" footer="0.3"/>
  <pageSetup paperSize="9" orientation="portrait" r:id="rId12"/>
  <rowBreaks count="1" manualBreakCount="1">
    <brk id="49" max="19" man="1"/>
  </rowBreaks>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FB93B-861E-4E74-95EA-5A1F0C2775C4}">
  <dimension ref="A1:F48"/>
  <sheetViews>
    <sheetView workbookViewId="0">
      <selection activeCell="Q14" sqref="Q14"/>
    </sheetView>
  </sheetViews>
  <sheetFormatPr defaultRowHeight="14.5"/>
  <cols>
    <col min="1" max="1" width="12.7265625" customWidth="1"/>
    <col min="2" max="2" width="19.08984375" customWidth="1"/>
    <col min="3" max="5" width="36.36328125" customWidth="1"/>
    <col min="6" max="6" width="14.54296875" customWidth="1"/>
  </cols>
  <sheetData>
    <row r="1" spans="1:6" ht="32" customHeight="1">
      <c r="A1" s="217" t="s">
        <v>940</v>
      </c>
      <c r="B1" s="217"/>
      <c r="C1" s="217"/>
      <c r="D1" s="217"/>
      <c r="E1" s="217"/>
      <c r="F1" s="217"/>
    </row>
    <row r="2" spans="1:6">
      <c r="A2" s="218" t="s">
        <v>941</v>
      </c>
      <c r="B2" s="218"/>
      <c r="C2" s="218"/>
      <c r="D2" s="218"/>
      <c r="E2" s="218"/>
      <c r="F2" s="218"/>
    </row>
    <row r="3" spans="1:6">
      <c r="A3" s="142"/>
      <c r="B3" s="142"/>
      <c r="C3" s="142"/>
      <c r="D3" s="142"/>
      <c r="E3" s="142"/>
      <c r="F3" s="142"/>
    </row>
    <row r="4" spans="1:6" ht="16">
      <c r="A4" s="221" t="s">
        <v>942</v>
      </c>
      <c r="B4" s="221"/>
      <c r="C4" s="221"/>
      <c r="D4" s="221"/>
      <c r="E4" s="221"/>
      <c r="F4" s="221"/>
    </row>
    <row r="5" spans="1:6" ht="58" customHeight="1">
      <c r="A5" s="219" t="s">
        <v>943</v>
      </c>
      <c r="B5" s="219"/>
      <c r="C5" s="219"/>
      <c r="D5" s="219"/>
      <c r="E5" s="219"/>
      <c r="F5" s="219"/>
    </row>
    <row r="6" spans="1:6">
      <c r="A6" s="142"/>
      <c r="B6" s="142"/>
      <c r="C6" s="142"/>
      <c r="D6" s="142"/>
      <c r="E6" s="142"/>
      <c r="F6" s="142"/>
    </row>
    <row r="7" spans="1:6" ht="16">
      <c r="A7" s="221" t="s">
        <v>944</v>
      </c>
      <c r="B7" s="221"/>
      <c r="C7" s="221"/>
      <c r="D7" s="221"/>
      <c r="E7" s="221"/>
      <c r="F7" s="221"/>
    </row>
    <row r="8" spans="1:6">
      <c r="A8" s="143" t="s">
        <v>756</v>
      </c>
      <c r="B8" s="143" t="s">
        <v>945</v>
      </c>
      <c r="C8" s="143" t="s">
        <v>946</v>
      </c>
      <c r="D8" s="143" t="s">
        <v>947</v>
      </c>
      <c r="E8" s="143" t="s">
        <v>948</v>
      </c>
      <c r="F8" s="143" t="s">
        <v>949</v>
      </c>
    </row>
    <row r="9" spans="1:6" ht="29">
      <c r="A9" s="144" t="s">
        <v>950</v>
      </c>
      <c r="B9" s="144" t="s">
        <v>951</v>
      </c>
      <c r="C9" s="144" t="s">
        <v>952</v>
      </c>
      <c r="D9" s="144" t="s">
        <v>953</v>
      </c>
      <c r="E9" s="144" t="s">
        <v>954</v>
      </c>
      <c r="F9" s="144" t="s">
        <v>955</v>
      </c>
    </row>
    <row r="10" spans="1:6" ht="29">
      <c r="A10" s="144" t="s">
        <v>956</v>
      </c>
      <c r="B10" s="144" t="s">
        <v>957</v>
      </c>
      <c r="C10" s="144" t="s">
        <v>958</v>
      </c>
      <c r="D10" s="144" t="s">
        <v>959</v>
      </c>
      <c r="E10" s="144" t="s">
        <v>960</v>
      </c>
      <c r="F10" s="144" t="s">
        <v>961</v>
      </c>
    </row>
    <row r="11" spans="1:6" ht="29">
      <c r="A11" s="144" t="s">
        <v>962</v>
      </c>
      <c r="B11" s="144" t="s">
        <v>963</v>
      </c>
      <c r="C11" s="144" t="s">
        <v>964</v>
      </c>
      <c r="D11" s="144" t="s">
        <v>965</v>
      </c>
      <c r="E11" s="144" t="s">
        <v>966</v>
      </c>
      <c r="F11" s="144" t="s">
        <v>964</v>
      </c>
    </row>
    <row r="12" spans="1:6" ht="29">
      <c r="A12" s="144" t="s">
        <v>967</v>
      </c>
      <c r="B12" s="144" t="s">
        <v>968</v>
      </c>
      <c r="C12" s="144" t="s">
        <v>964</v>
      </c>
      <c r="D12" s="144" t="s">
        <v>969</v>
      </c>
      <c r="E12" s="144" t="s">
        <v>970</v>
      </c>
      <c r="F12" s="144" t="s">
        <v>971</v>
      </c>
    </row>
    <row r="13" spans="1:6" ht="43.5">
      <c r="A13" s="144" t="s">
        <v>972</v>
      </c>
      <c r="B13" s="144" t="s">
        <v>973</v>
      </c>
      <c r="C13" s="144" t="s">
        <v>974</v>
      </c>
      <c r="D13" s="144" t="s">
        <v>959</v>
      </c>
      <c r="E13" s="144" t="s">
        <v>975</v>
      </c>
      <c r="F13" s="144" t="s">
        <v>976</v>
      </c>
    </row>
    <row r="14" spans="1:6" ht="29">
      <c r="A14" s="144" t="s">
        <v>977</v>
      </c>
      <c r="B14" s="144" t="s">
        <v>978</v>
      </c>
      <c r="C14" s="144" t="s">
        <v>979</v>
      </c>
      <c r="D14" s="144" t="s">
        <v>980</v>
      </c>
      <c r="E14" s="144" t="s">
        <v>981</v>
      </c>
      <c r="F14" s="144" t="s">
        <v>982</v>
      </c>
    </row>
    <row r="15" spans="1:6">
      <c r="A15" s="145"/>
      <c r="B15" s="145"/>
      <c r="C15" s="145"/>
      <c r="D15" s="145"/>
      <c r="E15" s="145"/>
      <c r="F15" s="145"/>
    </row>
    <row r="16" spans="1:6" ht="16">
      <c r="A16" s="222" t="s">
        <v>983</v>
      </c>
      <c r="B16" s="222"/>
      <c r="C16" s="222"/>
      <c r="D16" s="222"/>
      <c r="E16" s="222"/>
      <c r="F16" s="222"/>
    </row>
    <row r="17" spans="1:6">
      <c r="A17" s="146" t="s">
        <v>984</v>
      </c>
      <c r="B17" s="146" t="s">
        <v>2</v>
      </c>
      <c r="C17" s="146" t="s">
        <v>985</v>
      </c>
      <c r="D17" s="146" t="s">
        <v>986</v>
      </c>
      <c r="E17" s="146" t="s">
        <v>987</v>
      </c>
      <c r="F17" s="146" t="s">
        <v>988</v>
      </c>
    </row>
    <row r="18" spans="1:6" ht="58">
      <c r="A18" s="147" t="s">
        <v>969</v>
      </c>
      <c r="B18" s="148" t="s">
        <v>989</v>
      </c>
      <c r="C18" s="148" t="s">
        <v>990</v>
      </c>
      <c r="D18" s="148" t="s">
        <v>991</v>
      </c>
      <c r="E18" s="148" t="s">
        <v>992</v>
      </c>
      <c r="F18" s="148">
        <v>1</v>
      </c>
    </row>
    <row r="19" spans="1:6" ht="43.5">
      <c r="A19" s="147" t="s">
        <v>993</v>
      </c>
      <c r="B19" s="148" t="s">
        <v>994</v>
      </c>
      <c r="C19" s="148" t="s">
        <v>995</v>
      </c>
      <c r="D19" s="148" t="s">
        <v>996</v>
      </c>
      <c r="E19" s="148" t="s">
        <v>997</v>
      </c>
      <c r="F19" s="148" t="s">
        <v>998</v>
      </c>
    </row>
    <row r="20" spans="1:6" ht="43.5">
      <c r="A20" s="147" t="s">
        <v>993</v>
      </c>
      <c r="B20" s="148" t="s">
        <v>999</v>
      </c>
      <c r="C20" s="148" t="s">
        <v>1000</v>
      </c>
      <c r="D20" s="148" t="s">
        <v>1001</v>
      </c>
      <c r="E20" s="148" t="s">
        <v>1002</v>
      </c>
      <c r="F20" s="148">
        <v>3</v>
      </c>
    </row>
    <row r="21" spans="1:6" ht="43.5">
      <c r="A21" s="147" t="s">
        <v>993</v>
      </c>
      <c r="B21" s="148" t="s">
        <v>1003</v>
      </c>
      <c r="C21" s="148" t="s">
        <v>1004</v>
      </c>
      <c r="D21" s="148" t="s">
        <v>1005</v>
      </c>
      <c r="E21" s="148" t="s">
        <v>1006</v>
      </c>
      <c r="F21" s="148">
        <v>3</v>
      </c>
    </row>
    <row r="22" spans="1:6" ht="43.5">
      <c r="A22" s="149" t="s">
        <v>1007</v>
      </c>
      <c r="B22" s="148" t="s">
        <v>1008</v>
      </c>
      <c r="C22" s="148" t="s">
        <v>1009</v>
      </c>
      <c r="D22" s="148" t="s">
        <v>1010</v>
      </c>
      <c r="E22" s="148" t="s">
        <v>1011</v>
      </c>
      <c r="F22" s="148">
        <v>1</v>
      </c>
    </row>
    <row r="23" spans="1:6" ht="43.5">
      <c r="A23" s="149" t="s">
        <v>1007</v>
      </c>
      <c r="B23" s="148" t="s">
        <v>1012</v>
      </c>
      <c r="C23" s="148" t="s">
        <v>1013</v>
      </c>
      <c r="D23" s="148" t="s">
        <v>1014</v>
      </c>
      <c r="E23" s="148" t="s">
        <v>1015</v>
      </c>
      <c r="F23" s="148">
        <v>1</v>
      </c>
    </row>
    <row r="24" spans="1:6" ht="43.5">
      <c r="A24" s="149" t="s">
        <v>1007</v>
      </c>
      <c r="B24" s="148" t="s">
        <v>1016</v>
      </c>
      <c r="C24" s="148" t="s">
        <v>1017</v>
      </c>
      <c r="D24" s="148" t="s">
        <v>1018</v>
      </c>
      <c r="E24" s="148" t="s">
        <v>1019</v>
      </c>
      <c r="F24" s="148">
        <v>2</v>
      </c>
    </row>
    <row r="25" spans="1:6" ht="43.5">
      <c r="A25" s="150" t="s">
        <v>1020</v>
      </c>
      <c r="B25" s="148" t="s">
        <v>1021</v>
      </c>
      <c r="C25" s="148" t="s">
        <v>1022</v>
      </c>
      <c r="D25" s="148" t="s">
        <v>1023</v>
      </c>
      <c r="E25" s="148" t="s">
        <v>1024</v>
      </c>
      <c r="F25" s="148">
        <v>4</v>
      </c>
    </row>
    <row r="26" spans="1:6">
      <c r="A26" s="145"/>
      <c r="B26" s="145"/>
      <c r="C26" s="145"/>
      <c r="D26" s="145"/>
      <c r="E26" s="145"/>
      <c r="F26" s="145"/>
    </row>
    <row r="27" spans="1:6" ht="16">
      <c r="A27" s="222" t="s">
        <v>1025</v>
      </c>
      <c r="B27" s="222"/>
      <c r="C27" s="222"/>
      <c r="D27" s="222"/>
      <c r="E27" s="222"/>
      <c r="F27" s="222"/>
    </row>
    <row r="28" spans="1:6">
      <c r="A28" s="146" t="s">
        <v>988</v>
      </c>
      <c r="B28" s="146" t="s">
        <v>1026</v>
      </c>
      <c r="C28" s="146" t="s">
        <v>1027</v>
      </c>
      <c r="D28" s="146" t="s">
        <v>1028</v>
      </c>
      <c r="E28" s="146" t="s">
        <v>1029</v>
      </c>
      <c r="F28" s="146" t="s">
        <v>984</v>
      </c>
    </row>
    <row r="29" spans="1:6" ht="72.5">
      <c r="A29" s="151">
        <v>1</v>
      </c>
      <c r="B29" s="144" t="s">
        <v>1030</v>
      </c>
      <c r="C29" s="144" t="s">
        <v>1031</v>
      </c>
      <c r="D29" s="144" t="s">
        <v>1032</v>
      </c>
      <c r="E29" s="144" t="s">
        <v>1033</v>
      </c>
      <c r="F29" s="151" t="s">
        <v>1034</v>
      </c>
    </row>
    <row r="30" spans="1:6" ht="87">
      <c r="A30" s="151">
        <v>2</v>
      </c>
      <c r="B30" s="144" t="s">
        <v>1035</v>
      </c>
      <c r="C30" s="144" t="s">
        <v>1036</v>
      </c>
      <c r="D30" s="144" t="s">
        <v>1037</v>
      </c>
      <c r="E30" s="144" t="s">
        <v>1038</v>
      </c>
      <c r="F30" s="151" t="s">
        <v>1039</v>
      </c>
    </row>
    <row r="31" spans="1:6" ht="72.5">
      <c r="A31" s="151">
        <v>3</v>
      </c>
      <c r="B31" s="144" t="s">
        <v>1040</v>
      </c>
      <c r="C31" s="144" t="s">
        <v>1041</v>
      </c>
      <c r="D31" s="144" t="s">
        <v>1042</v>
      </c>
      <c r="E31" s="144" t="s">
        <v>1043</v>
      </c>
      <c r="F31" s="151" t="s">
        <v>1044</v>
      </c>
    </row>
    <row r="32" spans="1:6" ht="58">
      <c r="A32" s="151">
        <v>4</v>
      </c>
      <c r="B32" s="144" t="s">
        <v>1045</v>
      </c>
      <c r="C32" s="144" t="s">
        <v>1046</v>
      </c>
      <c r="D32" s="144" t="s">
        <v>1047</v>
      </c>
      <c r="E32" s="144" t="s">
        <v>1048</v>
      </c>
      <c r="F32" s="151" t="s">
        <v>1049</v>
      </c>
    </row>
    <row r="33" spans="1:6">
      <c r="A33" s="145"/>
      <c r="B33" s="145"/>
      <c r="C33" s="145"/>
      <c r="D33" s="145"/>
      <c r="E33" s="145"/>
      <c r="F33" s="145"/>
    </row>
    <row r="34" spans="1:6" ht="16">
      <c r="A34" s="222" t="s">
        <v>1050</v>
      </c>
      <c r="B34" s="222"/>
      <c r="C34" s="222"/>
      <c r="D34" s="222"/>
      <c r="E34" s="222"/>
      <c r="F34" s="222"/>
    </row>
    <row r="35" spans="1:6" ht="29">
      <c r="A35" s="148">
        <v>1</v>
      </c>
      <c r="B35" s="148" t="s">
        <v>1051</v>
      </c>
      <c r="C35" s="148" t="s">
        <v>1052</v>
      </c>
      <c r="D35" s="148" t="s">
        <v>1053</v>
      </c>
      <c r="E35" s="148" t="s">
        <v>1054</v>
      </c>
      <c r="F35" s="148" t="s">
        <v>1055</v>
      </c>
    </row>
    <row r="36" spans="1:6" ht="43.5">
      <c r="A36" s="148">
        <v>2</v>
      </c>
      <c r="B36" s="148" t="s">
        <v>1056</v>
      </c>
      <c r="C36" s="148" t="s">
        <v>1057</v>
      </c>
      <c r="D36" s="148" t="s">
        <v>1058</v>
      </c>
      <c r="E36" s="148" t="s">
        <v>1059</v>
      </c>
      <c r="F36" s="148" t="s">
        <v>1055</v>
      </c>
    </row>
    <row r="37" spans="1:6" ht="29">
      <c r="A37" s="148">
        <v>3</v>
      </c>
      <c r="B37" s="148" t="s">
        <v>1060</v>
      </c>
      <c r="C37" s="148" t="s">
        <v>1061</v>
      </c>
      <c r="D37" s="148" t="s">
        <v>1062</v>
      </c>
      <c r="E37" s="148" t="s">
        <v>1063</v>
      </c>
      <c r="F37" s="148" t="s">
        <v>1064</v>
      </c>
    </row>
    <row r="38" spans="1:6" ht="29">
      <c r="A38" s="148">
        <v>4</v>
      </c>
      <c r="B38" s="148" t="s">
        <v>1065</v>
      </c>
      <c r="C38" s="148" t="s">
        <v>1066</v>
      </c>
      <c r="D38" s="148" t="s">
        <v>1067</v>
      </c>
      <c r="E38" s="148" t="s">
        <v>1068</v>
      </c>
      <c r="F38" s="148" t="s">
        <v>1064</v>
      </c>
    </row>
    <row r="39" spans="1:6">
      <c r="A39" s="145"/>
      <c r="B39" s="145"/>
      <c r="C39" s="145"/>
      <c r="D39" s="145"/>
      <c r="E39" s="145"/>
      <c r="F39" s="145"/>
    </row>
    <row r="40" spans="1:6" ht="16">
      <c r="A40" s="222" t="s">
        <v>1069</v>
      </c>
      <c r="B40" s="222"/>
      <c r="C40" s="222"/>
      <c r="D40" s="222"/>
      <c r="E40" s="222"/>
      <c r="F40" s="222"/>
    </row>
    <row r="41" spans="1:6">
      <c r="A41" s="146" t="s">
        <v>1070</v>
      </c>
      <c r="B41" s="146" t="s">
        <v>1071</v>
      </c>
      <c r="C41" s="146" t="s">
        <v>1072</v>
      </c>
      <c r="D41" s="146" t="s">
        <v>1073</v>
      </c>
      <c r="E41" s="146" t="s">
        <v>1074</v>
      </c>
      <c r="F41" s="146" t="s">
        <v>947</v>
      </c>
    </row>
    <row r="42" spans="1:6" ht="43.5">
      <c r="A42" s="144" t="s">
        <v>1075</v>
      </c>
      <c r="B42" s="144" t="s">
        <v>1076</v>
      </c>
      <c r="C42" s="144" t="s">
        <v>1077</v>
      </c>
      <c r="D42" s="144" t="s">
        <v>1078</v>
      </c>
      <c r="E42" s="144" t="s">
        <v>1079</v>
      </c>
      <c r="F42" s="144" t="s">
        <v>1080</v>
      </c>
    </row>
    <row r="43" spans="1:6" ht="29">
      <c r="A43" s="144" t="s">
        <v>1081</v>
      </c>
      <c r="B43" s="144" t="s">
        <v>963</v>
      </c>
      <c r="C43" s="144" t="s">
        <v>971</v>
      </c>
      <c r="D43" s="144" t="s">
        <v>1082</v>
      </c>
      <c r="E43" s="144" t="s">
        <v>1083</v>
      </c>
      <c r="F43" s="144" t="s">
        <v>1080</v>
      </c>
    </row>
    <row r="44" spans="1:6" ht="43.5">
      <c r="A44" s="144" t="s">
        <v>1084</v>
      </c>
      <c r="B44" s="144" t="s">
        <v>1085</v>
      </c>
      <c r="C44" s="144" t="s">
        <v>971</v>
      </c>
      <c r="D44" s="144" t="s">
        <v>1086</v>
      </c>
      <c r="E44" s="144" t="s">
        <v>1087</v>
      </c>
      <c r="F44" s="144" t="s">
        <v>1088</v>
      </c>
    </row>
    <row r="45" spans="1:6" ht="29">
      <c r="A45" s="144" t="s">
        <v>1003</v>
      </c>
      <c r="B45" s="144" t="s">
        <v>1089</v>
      </c>
      <c r="C45" s="144" t="s">
        <v>976</v>
      </c>
      <c r="D45" s="144" t="s">
        <v>1090</v>
      </c>
      <c r="E45" s="144" t="s">
        <v>1091</v>
      </c>
      <c r="F45" s="144" t="s">
        <v>1088</v>
      </c>
    </row>
    <row r="46" spans="1:6" ht="43.5">
      <c r="A46" s="152" t="s">
        <v>1092</v>
      </c>
      <c r="B46" s="152" t="s">
        <v>1093</v>
      </c>
      <c r="C46" s="152" t="s">
        <v>1094</v>
      </c>
      <c r="D46" s="152" t="s">
        <v>1095</v>
      </c>
      <c r="E46" s="152" t="s">
        <v>1096</v>
      </c>
      <c r="F46" s="152" t="s">
        <v>980</v>
      </c>
    </row>
    <row r="47" spans="1:6">
      <c r="A47" s="142"/>
      <c r="B47" s="142"/>
      <c r="C47" s="142"/>
      <c r="D47" s="142"/>
      <c r="E47" s="142"/>
      <c r="F47" s="142"/>
    </row>
    <row r="48" spans="1:6" ht="46" customHeight="1">
      <c r="A48" s="220" t="s">
        <v>1097</v>
      </c>
      <c r="B48" s="220"/>
      <c r="C48" s="220"/>
      <c r="D48" s="220"/>
      <c r="E48" s="220"/>
      <c r="F48" s="220"/>
    </row>
  </sheetData>
  <mergeCells count="10">
    <mergeCell ref="A1:F1"/>
    <mergeCell ref="A2:F2"/>
    <mergeCell ref="A5:F5"/>
    <mergeCell ref="A48:F48"/>
    <mergeCell ref="A4:F4"/>
    <mergeCell ref="A7:F7"/>
    <mergeCell ref="A16:F16"/>
    <mergeCell ref="A27:F27"/>
    <mergeCell ref="A34:F34"/>
    <mergeCell ref="A40:F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991B-85F0-45E3-85F4-2CCE981080D3}">
  <dimension ref="A1:C3"/>
  <sheetViews>
    <sheetView workbookViewId="0">
      <selection activeCell="P39" sqref="P39"/>
    </sheetView>
  </sheetViews>
  <sheetFormatPr defaultRowHeight="14"/>
  <cols>
    <col min="1" max="1" width="10.7265625" style="31" bestFit="1" customWidth="1"/>
    <col min="2" max="2" width="8.26953125" style="31" customWidth="1"/>
    <col min="3" max="3" width="24.08984375" style="31" bestFit="1" customWidth="1"/>
    <col min="4" max="16384" width="8.7265625" style="31"/>
  </cols>
  <sheetData>
    <row r="1" spans="1:3">
      <c r="A1" s="91" t="s">
        <v>729</v>
      </c>
      <c r="B1" s="91" t="s">
        <v>730</v>
      </c>
      <c r="C1" s="91" t="s">
        <v>731</v>
      </c>
    </row>
    <row r="2" spans="1:3">
      <c r="A2" s="126">
        <v>46090</v>
      </c>
      <c r="B2" s="31">
        <v>1</v>
      </c>
      <c r="C2" s="31" t="s">
        <v>732</v>
      </c>
    </row>
    <row r="3" spans="1:3">
      <c r="A3" s="126">
        <v>46091</v>
      </c>
      <c r="B3" s="31">
        <v>1.1000000000000001</v>
      </c>
      <c r="C3" s="31" t="s">
        <v>755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83580-499D-4CA6-9739-81B2652B564D}">
  <sheetPr>
    <tabColor theme="1"/>
  </sheetPr>
  <dimension ref="A1"/>
  <sheetViews>
    <sheetView workbookViewId="0">
      <selection activeCell="P39" sqref="P39"/>
    </sheetView>
  </sheetViews>
  <sheetFormatPr defaultRowHeight="14.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27D89-E623-42E7-B311-157D2EDC82C3}">
  <sheetPr codeName="Sheet2"/>
  <dimension ref="A1:L34"/>
  <sheetViews>
    <sheetView topLeftCell="A16" zoomScale="56" zoomScaleNormal="90" zoomScaleSheetLayoutView="55" workbookViewId="0">
      <selection activeCell="A22" sqref="A22"/>
    </sheetView>
  </sheetViews>
  <sheetFormatPr defaultRowHeight="14"/>
  <cols>
    <col min="1" max="1" width="25.7265625" style="42" customWidth="1"/>
    <col min="2" max="2" width="71.54296875" style="31" customWidth="1"/>
    <col min="3" max="3" width="11" style="31" customWidth="1"/>
    <col min="4" max="4" width="8.7265625" style="31"/>
    <col min="5" max="5" width="16.1796875" style="31" bestFit="1" customWidth="1"/>
    <col min="6" max="6" width="8.7265625" style="31"/>
    <col min="7" max="7" width="9.54296875" style="31" bestFit="1" customWidth="1"/>
    <col min="8" max="16384" width="8.7265625" style="31"/>
  </cols>
  <sheetData>
    <row r="1" spans="1:12" ht="14.5" thickBot="1">
      <c r="A1" s="42" t="s">
        <v>2</v>
      </c>
      <c r="B1" s="43" t="str">
        <f>'Title Page'!C4</f>
        <v>Norfolk</v>
      </c>
    </row>
    <row r="2" spans="1:12" ht="35">
      <c r="J2" s="31" t="s">
        <v>694</v>
      </c>
      <c r="K2" s="44" t="str">
        <f>J2</f>
        <v>Need</v>
      </c>
    </row>
    <row r="3" spans="1:12">
      <c r="A3" s="45" t="s">
        <v>3</v>
      </c>
    </row>
    <row r="4" spans="1:12">
      <c r="A4" s="42" t="s">
        <v>4</v>
      </c>
      <c r="B4" s="46" t="s">
        <v>5</v>
      </c>
    </row>
    <row r="5" spans="1:12">
      <c r="A5" s="42" t="s">
        <v>6</v>
      </c>
      <c r="B5" s="46" t="s">
        <v>7</v>
      </c>
    </row>
    <row r="6" spans="1:12">
      <c r="A6" s="42" t="s">
        <v>8</v>
      </c>
      <c r="B6" s="47" t="s">
        <v>9</v>
      </c>
    </row>
    <row r="7" spans="1:12">
      <c r="A7" s="42" t="s">
        <v>10</v>
      </c>
      <c r="B7" s="47" t="s">
        <v>11</v>
      </c>
    </row>
    <row r="8" spans="1:12">
      <c r="A8" s="42" t="s">
        <v>12</v>
      </c>
      <c r="B8" s="46" t="s">
        <v>13</v>
      </c>
    </row>
    <row r="9" spans="1:12" ht="14.5" thickBot="1"/>
    <row r="10" spans="1:12">
      <c r="A10" s="45"/>
      <c r="E10" s="48"/>
      <c r="F10" s="49" t="s">
        <v>14</v>
      </c>
      <c r="G10" s="49"/>
      <c r="H10" s="49"/>
      <c r="I10" s="49"/>
      <c r="J10" s="49"/>
      <c r="K10" s="49"/>
      <c r="L10" s="50"/>
    </row>
    <row r="11" spans="1:12" ht="70">
      <c r="A11" s="51" t="str">
        <f>"As of "&amp;G11&amp;", there are around " &amp;
IF(
    _xlfn.XLOOKUP(B1,Datasheet!A:A,Datasheet!E:E)&gt;=1000000,
    ROUND(_xlfn.XLOOKUP(B1,Datasheet!A:A,Datasheet!E:E)/1000000,1) &amp; " million",
    TEXT(ROUND(_xlfn.XLOOKUP(B1,Datasheet!A:A,Datasheet!E:E),-3),"#,##0")
) &amp;
" adults in " &amp; B1</f>
        <v>As of 2025, there are around 776,000 adults in Norfolk</v>
      </c>
      <c r="B11" s="52" t="str">
        <f>A11</f>
        <v>As of 2025, there are around 776,000 adults in Norfolk</v>
      </c>
      <c r="E11" s="53" t="str">
        <f>"Demographic Breakdown,"&amp;Datasheet!D3&amp;" vs "&amp;Datasheet!E3&amp;" - "&amp;B1</f>
        <v>Demographic Breakdown,2015 vs 2025 - Norfolk</v>
      </c>
      <c r="F11" s="54">
        <f>Datasheet!D3</f>
        <v>2015</v>
      </c>
      <c r="G11" s="54">
        <f>Datasheet!E3</f>
        <v>2025</v>
      </c>
      <c r="J11" s="31" t="s">
        <v>623</v>
      </c>
      <c r="L11" s="55"/>
    </row>
    <row r="12" spans="1:12" ht="70">
      <c r="A12" s="51" t="str">
        <f>"Around " &amp;
IF(
    _xlfn.XLOOKUP(B1,Datasheet!A:A,Datasheet!G:G)&gt;=1000000,
    ROUND(_xlfn.XLOOKUP(B1,Datasheet!A:A,Datasheet!G:G)/1000000,1) &amp; " million",
    TEXT(ROUND(_xlfn.XLOOKUP(B1,Datasheet!A:A,Datasheet!G:G),-3),"#,##0")
) &amp;
" (" &amp;
TEXT(_xlfn.XLOOKUP(B1,Datasheet!A:A,Calculations!D:D),"0%") &amp;
") are aged 18-64"</f>
        <v>Around 536,000 (69%) are aged 18-64</v>
      </c>
      <c r="B12" s="52" t="str">
        <f t="shared" ref="B12:B13" si="0">A12</f>
        <v>Around 536,000 (69%) are aged 18-64</v>
      </c>
      <c r="E12" s="53" t="s">
        <v>15</v>
      </c>
      <c r="F12" s="57">
        <f>_xlfn.XLOOKUP(B1,Datasheet!A:A,Calculations!J:J)</f>
        <v>0.70963678793263862</v>
      </c>
      <c r="G12" s="57">
        <f>_xlfn.XLOOKUP(B1,Datasheet!A:A,Calculations!D:D)</f>
        <v>0.69105250947335861</v>
      </c>
      <c r="L12" s="55"/>
    </row>
    <row r="13" spans="1:12" ht="70.5" thickBot="1">
      <c r="A13" s="51" t="str">
        <f>"Around " &amp;
IF(
    _xlfn.XLOOKUP(B1,Datasheet!A:A,Datasheet!I:I)&gt;=1000000,
    ROUND(_xlfn.XLOOKUP(B1,Datasheet!A:A,Datasheet!I:I)/1000000,1) &amp; " million",
    TEXT(ROUND(_xlfn.XLOOKUP(B1,Datasheet!A:A,Datasheet!I:I),-3),"#,##0")
) &amp;
" (" &amp;
TEXT(_xlfn.XLOOKUP(B1,Datasheet!A:A,Calculations!E:E),"0%") &amp;
") are aged 65 and over"</f>
        <v>Around 240,000 (31%) are aged 65 and over</v>
      </c>
      <c r="B13" s="52" t="str">
        <f t="shared" si="0"/>
        <v>Around 240,000 (31%) are aged 65 and over</v>
      </c>
      <c r="E13" s="58" t="s">
        <v>16</v>
      </c>
      <c r="F13" s="59">
        <f>_xlfn.XLOOKUP(B1,Datasheet!A:A,Calculations!K:K)</f>
        <v>0.29036321206736143</v>
      </c>
      <c r="G13" s="59">
        <f>_xlfn.XLOOKUP(B1,Datasheet!A:A,Calculations!E:E)</f>
        <v>0.30894749052664139</v>
      </c>
      <c r="H13" s="60"/>
      <c r="I13" s="60"/>
      <c r="J13" s="60"/>
      <c r="K13" s="60"/>
      <c r="L13" s="61"/>
    </row>
    <row r="14" spans="1:12" ht="14.5" thickBot="1">
      <c r="B14" s="62"/>
    </row>
    <row r="15" spans="1:12" ht="42">
      <c r="B15" s="62"/>
      <c r="E15" s="63" t="str">
        <f>"Life Expectancy in years - "&amp;B1</f>
        <v>Life Expectancy in years - Norfolk</v>
      </c>
      <c r="F15" s="64" t="s">
        <v>17</v>
      </c>
      <c r="G15" s="64" t="s">
        <v>18</v>
      </c>
      <c r="H15" s="49" t="s">
        <v>622</v>
      </c>
      <c r="I15" s="49"/>
      <c r="J15" s="49"/>
      <c r="K15" s="49"/>
      <c r="L15" s="50"/>
    </row>
    <row r="16" spans="1:12" ht="105">
      <c r="A16" s="65" t="str">
        <f>"Life expectancy for men is " &amp;
_xlfn.XLOOKUP(B1, Datasheet!A:A, Datasheet!M:M) &amp;
" years, of which " &amp;
_xlfn.XLOOKUP(B1, Datasheet!A:A, Datasheet!O:O) &amp;
" are expected to be in good health"</f>
        <v>Life expectancy for men is 79.8 years, of which 61.3 are expected to be in good health</v>
      </c>
      <c r="B16" s="52" t="str">
        <f>A16</f>
        <v>Life expectancy for men is 79.8 years, of which 61.3 are expected to be in good health</v>
      </c>
      <c r="E16" s="53" t="s">
        <v>19</v>
      </c>
      <c r="F16" s="66">
        <f>_xlfn.XLOOKUP(B1, Datasheet!A:A, Datasheet!O:O)</f>
        <v>61.3</v>
      </c>
      <c r="G16" s="67">
        <f>_xlfn.XLOOKUP(B1, Datasheet!A:A, Datasheet!M:M)-F16</f>
        <v>18.5</v>
      </c>
      <c r="H16" s="68">
        <f>F16+G16</f>
        <v>79.8</v>
      </c>
      <c r="J16" s="31" t="s">
        <v>623</v>
      </c>
      <c r="L16" s="55"/>
    </row>
    <row r="17" spans="1:12" ht="105.5" thickBot="1">
      <c r="A17" s="65" t="str">
        <f>"Life expectancy for women is " &amp;
_xlfn.XLOOKUP(B1, Datasheet!A:A, Datasheet!N:N) &amp;
" years, of which " &amp;
_xlfn.XLOOKUP(B1, Datasheet!A:A, Datasheet!P:P) &amp;
" are expected to be in good health"</f>
        <v>Life expectancy for women is 83.6 years, of which 61.1 are expected to be in good health</v>
      </c>
      <c r="B17" s="52" t="str">
        <f>A17</f>
        <v>Life expectancy for women is 83.6 years, of which 61.1 are expected to be in good health</v>
      </c>
      <c r="E17" s="58" t="s">
        <v>21</v>
      </c>
      <c r="F17" s="69">
        <f>_xlfn.XLOOKUP(B1, Datasheet!A:A, Datasheet!P:P)</f>
        <v>61.1</v>
      </c>
      <c r="G17" s="69">
        <f>_xlfn.XLOOKUP(B1, Datasheet!A:A, Datasheet!N:N)-F17</f>
        <v>22.499999999999993</v>
      </c>
      <c r="H17" s="60">
        <f>F17+G17</f>
        <v>83.6</v>
      </c>
      <c r="I17" s="60"/>
      <c r="J17" s="60"/>
      <c r="K17" s="60"/>
      <c r="L17" s="61"/>
    </row>
    <row r="18" spans="1:12" ht="105">
      <c r="A18" s="65" t="str">
        <f>"Around "&amp;
IF(
    _xlfn.XLOOKUP(B1,Datasheet!A:A,Datasheet!S:S)&gt;=1000000,
    ROUND(_xlfn.XLOOKUP(B1,Datasheet!A:A,Datasheet!S:S)/1000000,1) &amp; " million",
    TEXT(ROUND(_xlfn.XLOOKUP(B1,Datasheet!A:A,Datasheet!S:S),-3),"#,##0")
) &amp;
" adults report long term illness or disability - " &amp;
TEXT(_xlfn.XLOOKUP(B1, Datasheet!A:A, Datasheet!T:T)/100, "0.0%") &amp;
" of the population."</f>
        <v>Around 184,000 adults report long term illness or disability - 20.1% of the population.</v>
      </c>
      <c r="B18" s="52" t="str">
        <f>A18</f>
        <v>Around 184,000 adults report long term illness or disability - 20.1% of the population.</v>
      </c>
    </row>
    <row r="19" spans="1:12" ht="105">
      <c r="A19" s="65" t="str">
        <f>"Around " &amp;
IF(
    _xlfn.XLOOKUP(B1,Datasheet!A:A,Datasheet!U:U)&gt;=1000000,
    ROUND(_xlfn.XLOOKUP(B1,Datasheet!A:A,Datasheet!U:U)/1000000,1) &amp; " million",
    TEXT(ROUND(_xlfn.XLOOKUP(B1,Datasheet!A:A,Datasheet!U:U),-3),"#,##0")
) &amp;
" adults report bad or very bad health - " &amp;
TEXT(_xlfn.XLOOKUP(B1, Datasheet!A:A, Datasheet!V:V)/100, "0.0%") &amp;
" of the population."</f>
        <v>Around 51,000 adults report bad or very bad health - 5.5% of the population.</v>
      </c>
      <c r="B19" s="52" t="str">
        <f>A19</f>
        <v>Around 51,000 adults report bad or very bad health - 5.5% of the population.</v>
      </c>
    </row>
    <row r="20" spans="1:12" ht="175">
      <c r="A20" s="65" t="str">
        <f>"Around " &amp;
IF(
    _xlfn.XLOOKUP(B1,Datasheet!A:A,Datasheet!Q:Q)&gt;=1000000,
    ROUND(_xlfn.XLOOKUP(B1,Datasheet!A:A,Datasheet!Q:Q)/1000000,1) &amp; " million",
    TEXT(ROUND(_xlfn.XLOOKUP(B1,Datasheet!A:A,Datasheet!Q:Q),-3),"#,##0")
)  &amp;
" adults with a learning disability were supported in " &amp;
C2 &amp;
" in 2023/24. Around " &amp;
IF(
    _xlfn.XLOOKUP(B1,Datasheet!A:A,Datasheet!R:R)&gt;=1000000,
    ROUND(_xlfn.XLOOKUP(B1,Datasheet!A:A,Datasheet!R:R)/1000000,1) &amp; " million",
    TEXT(ROUND(_xlfn.XLOOKUP(B1,Datasheet!A:A,Datasheet!R:R),-3),"#,##0")
)   &amp;
" (" &amp;
TEXT(_xlfn.XLOOKUP(B1, Datasheet!A:A, Calculations!L:L), "0%") &amp;
") were of working age."</f>
        <v>Around 3,000 adults with a learning disability were supported in  in 2023/24. Around 2,000 (88%) were of working age.</v>
      </c>
      <c r="B20" s="52" t="str">
        <f>A20</f>
        <v>Around 3,000 adults with a learning disability were supported in  in 2023/24. Around 2,000 (88%) were of working age.</v>
      </c>
    </row>
    <row r="22" spans="1:12" ht="70">
      <c r="A22" s="51" t="str">
        <f>"Around " &amp;
IF(
    _xlfn.XLOOKUP(B1,Datasheet!A:A,Datasheet!W:W)&gt;=1000000,
    ROUND(_xlfn.XLOOKUP(B1,Datasheet!A:A,Datasheet!W:W)/1000000,1) &amp; " million people",
    TEXT(ROUND(_xlfn.XLOOKUP(B1,Datasheet!A:A,Datasheet!W:W),-3),"#,##0")
) &amp;
" (" &amp;
TEXT(_xlfn.XLOOKUP(B1,Datasheet!A:A,Datasheet!L:L)/100,"0.0%") &amp;
") provide some form of unpaid care."</f>
        <v>Around 82,000 (8.9%) provide some form of unpaid care.</v>
      </c>
      <c r="B22" s="52" t="str">
        <f t="shared" ref="B22" si="1">A22</f>
        <v>Around 82,000 (8.9%) provide some form of unpaid care.</v>
      </c>
    </row>
    <row r="23" spans="1:12" ht="70">
      <c r="A23" s="65" t="str">
        <f xml:space="preserve">
TEXT(_xlfn.XLOOKUP(B1,Datasheet!A:A,Datasheet!X:X)/100,"0.0%")&amp;
" provide up to 20 hours of unpaid care per week."</f>
        <v>4.6% provide up to 20 hours of unpaid care per week.</v>
      </c>
      <c r="B23" s="52" t="str">
        <f>A23</f>
        <v>4.6% provide up to 20 hours of unpaid care per week.</v>
      </c>
    </row>
    <row r="24" spans="1:12" ht="64.5" customHeight="1">
      <c r="A24" s="65" t="str">
        <f xml:space="preserve">
TEXT(_xlfn.XLOOKUP(B1,Datasheet!A:A,Datasheet!Y:Y)/100,"0.0%")&amp;
" provide between 20 and 49 hours of unpaid care per week."</f>
        <v>1.8% provide between 20 and 49 hours of unpaid care per week.</v>
      </c>
      <c r="B24" s="52" t="str">
        <f>A24</f>
        <v>1.8% provide between 20 and 49 hours of unpaid care per week.</v>
      </c>
    </row>
    <row r="25" spans="1:12" ht="70">
      <c r="A25" s="65" t="str">
        <f xml:space="preserve">
TEXT(_xlfn.XLOOKUP(B1,Datasheet!A:A,Datasheet!Z:Z)/100,"0.0%")&amp;
" provide 50+ hours of unpaid care per week."</f>
        <v>2.9% provide 50+ hours of unpaid care per week.</v>
      </c>
      <c r="B25" s="52" t="str">
        <f>A25</f>
        <v>2.9% provide 50+ hours of unpaid care per week.</v>
      </c>
    </row>
    <row r="28" spans="1:12">
      <c r="A28" s="42" t="s">
        <v>22</v>
      </c>
      <c r="B28" s="31" t="s">
        <v>23</v>
      </c>
      <c r="C28" s="31" t="s">
        <v>24</v>
      </c>
    </row>
    <row r="30" spans="1:12">
      <c r="A30" s="42" t="s">
        <v>25</v>
      </c>
      <c r="B30" s="31" t="s">
        <v>26</v>
      </c>
      <c r="C30" s="31" t="s">
        <v>27</v>
      </c>
    </row>
    <row r="32" spans="1:12">
      <c r="A32" s="42" t="s">
        <v>28</v>
      </c>
      <c r="C32" s="31" t="s">
        <v>29</v>
      </c>
    </row>
    <row r="34" spans="1:3">
      <c r="A34" s="42" t="s">
        <v>30</v>
      </c>
      <c r="C34" s="31" t="s">
        <v>31</v>
      </c>
    </row>
  </sheetData>
  <phoneticPr fontId="2" type="noConversion"/>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B5474-73C8-4C00-943E-9FEA748A8334}">
  <sheetPr codeName="Sheet3"/>
  <dimension ref="A1:K22"/>
  <sheetViews>
    <sheetView topLeftCell="A11" workbookViewId="0">
      <selection activeCell="J8" sqref="J8"/>
    </sheetView>
  </sheetViews>
  <sheetFormatPr defaultRowHeight="14"/>
  <cols>
    <col min="1" max="1" width="51.81640625" style="42" bestFit="1" customWidth="1"/>
    <col min="2" max="2" width="65.7265625" style="31" bestFit="1" customWidth="1"/>
    <col min="3" max="16384" width="8.7265625" style="31"/>
  </cols>
  <sheetData>
    <row r="1" spans="1:11" ht="14.5" thickBot="1">
      <c r="A1" s="42" t="s">
        <v>2</v>
      </c>
      <c r="B1" s="43" t="str">
        <f>'Title Page'!C4</f>
        <v>Norfolk</v>
      </c>
    </row>
    <row r="2" spans="1:11" ht="35">
      <c r="J2" s="31" t="s">
        <v>695</v>
      </c>
      <c r="K2" s="44" t="str">
        <f>J2</f>
        <v>Care Users</v>
      </c>
    </row>
    <row r="3" spans="1:11">
      <c r="A3" s="45" t="s">
        <v>32</v>
      </c>
    </row>
    <row r="4" spans="1:11">
      <c r="A4" s="42" t="s">
        <v>33</v>
      </c>
      <c r="B4" s="31" t="s">
        <v>34</v>
      </c>
    </row>
    <row r="5" spans="1:11">
      <c r="A5" s="42" t="s">
        <v>35</v>
      </c>
      <c r="B5" s="31" t="s">
        <v>36</v>
      </c>
    </row>
    <row r="6" spans="1:11">
      <c r="A6" s="42" t="s">
        <v>37</v>
      </c>
      <c r="B6" s="31" t="s">
        <v>38</v>
      </c>
    </row>
    <row r="7" spans="1:11">
      <c r="A7" s="42" t="s">
        <v>39</v>
      </c>
      <c r="B7" s="31" t="s">
        <v>661</v>
      </c>
    </row>
    <row r="8" spans="1:11">
      <c r="A8" s="42" t="s">
        <v>40</v>
      </c>
      <c r="B8" s="31" t="s">
        <v>41</v>
      </c>
    </row>
    <row r="9" spans="1:11">
      <c r="A9" s="42" t="s">
        <v>42</v>
      </c>
    </row>
    <row r="12" spans="1:11" ht="37.5">
      <c r="A12" s="88" t="str">
        <f xml:space="preserve"> "As of "&amp;Datasheet!AC3&amp;", around "
    &amp; TEXT(
        _xlfn.XLOOKUP(B1, Calculations!A:A, Calculations!N:N),
        "0.0%"
      )
    &amp; " of the adult population are receiving long-term care, with "
    &amp; TEXT(
        _xlfn.XLOOKUP(B1, Calculations!A:A, Calculations!R:R),
        "0%"
      )
    &amp; " of those being cared for in the community."</f>
        <v>As of 2024/25, around 2.3% of the adult population are receiving long-term care, with 65% of those being cared for in the community.</v>
      </c>
      <c r="B12" s="88" t="str">
        <f>A12</f>
        <v>As of 2024/25, around 2.3% of the adult population are receiving long-term care, with 65% of those being cared for in the community.</v>
      </c>
    </row>
    <row r="13" spans="1:11" ht="25">
      <c r="A13" s="42" t="s">
        <v>680</v>
      </c>
      <c r="B13" s="92">
        <f>_xlfn.XLOOKUP(B1,Calculations!A:A,Calculations!S:S)</f>
        <v>1.1479782154580722E-2</v>
      </c>
    </row>
    <row r="14" spans="1:11" ht="25">
      <c r="A14" s="42" t="s">
        <v>681</v>
      </c>
      <c r="B14" s="93">
        <f>_xlfn.XLOOKUP(B1,Calculations!A:A,Calculations!T:T)</f>
        <v>4.9520233625365041E-2</v>
      </c>
      <c r="F14" s="108"/>
    </row>
    <row r="15" spans="1:11" ht="25">
      <c r="B15" s="93"/>
    </row>
    <row r="16" spans="1:11" ht="28">
      <c r="A16" s="65" t="str">
        <f>"There are "
&amp;TEXT(_xlfn.XLOOKUP(B1,Calculations!A:A,Datasheet!AB:AB),"0,000")
&amp;" care home beds in "&amp;B1&amp;", "
&amp;IF(
_xlfn.XLOOKUP(B1,Calculations!A:A,Calculations!M:M)&gt;0,
"an increase",
"a decrease"
)
&amp;" of "
&amp;TEXT(ABS(
_xlfn.XLOOKUP(B1,Calculations!A:A,Calculations!M:M)),
"0.0%"
)
&amp;" from 2023/24"</f>
        <v>There are 10,335 care home beds in Norfolk, an increase of 3.2% from 2023/24</v>
      </c>
      <c r="B16" s="101" t="str">
        <f>A16</f>
        <v>There are 10,335 care home beds in Norfolk, an increase of 3.2% from 2023/24</v>
      </c>
    </row>
    <row r="17" spans="1:8" ht="25">
      <c r="B17" s="93"/>
      <c r="E17" s="31" t="s">
        <v>75</v>
      </c>
      <c r="F17" s="31" t="s">
        <v>76</v>
      </c>
    </row>
    <row r="18" spans="1:8" ht="42">
      <c r="A18" s="65" t="str">
        <f>"of the population aged 18–64 (approximately " &amp;
 TEXT(ROUND(_xlfn.XLOOKUP(B1, Calculations!A:A, Datasheet!AL:AL), -4), "#,##0") &amp;
 " people) are accessing long-term support from their local authority"</f>
        <v>of the population aged 18–64 (approximately 10,000 people) are accessing long-term support from their local authority</v>
      </c>
      <c r="B18" s="95" t="str">
        <f>A18</f>
        <v>of the population aged 18–64 (approximately 10,000 people) are accessing long-term support from their local authority</v>
      </c>
      <c r="D18" s="31" t="s">
        <v>683</v>
      </c>
      <c r="E18" s="77">
        <f>1-E19</f>
        <v>0.16815597075548339</v>
      </c>
      <c r="F18" s="77">
        <f>1-F19</f>
        <v>0.44987363100252742</v>
      </c>
      <c r="H18" s="31" t="s">
        <v>692</v>
      </c>
    </row>
    <row r="19" spans="1:8" ht="42">
      <c r="A19" s="65" t="str">
        <f>"of the population aged 65 and over (approximately " &amp;
 TEXT(ROUND(_xlfn.XLOOKUP(B1, Calculations!A:A, Datasheet!AM:AM), -4), "#,##0") &amp;
 " people) are accessing long-term support from their local authority"</f>
        <v>of the population aged 65 and over (approximately 10,000 people) are accessing long-term support from their local authority</v>
      </c>
      <c r="B19" s="96" t="str">
        <f>A19</f>
        <v>of the population aged 65 and over (approximately 10,000 people) are accessing long-term support from their local authority</v>
      </c>
      <c r="D19" s="31" t="s">
        <v>684</v>
      </c>
      <c r="E19" s="77">
        <f>_xlfn.XLOOKUP($B$1,Calculations!$A:$A,Calculations!U:U)</f>
        <v>0.83184402924451661</v>
      </c>
      <c r="F19" s="77">
        <f>_xlfn.XLOOKUP($B$1,Calculations!$A:$A,Calculations!V:V)</f>
        <v>0.55012636899747258</v>
      </c>
    </row>
    <row r="21" spans="1:8" ht="18">
      <c r="A21" s="97" t="s">
        <v>690</v>
      </c>
      <c r="B21" s="98">
        <f>_xlfn.XLOOKUP(B1,Calculations!A:A,Datasheet!AN:AN)/100</f>
        <v>0.67799999999999994</v>
      </c>
      <c r="D21" s="31" t="s">
        <v>693</v>
      </c>
    </row>
    <row r="22" spans="1:8" ht="18">
      <c r="A22" s="99" t="s">
        <v>691</v>
      </c>
      <c r="B22" s="100">
        <f>_xlfn.XLOOKUP(B1,Calculations!A:A,Datasheet!CH:CH)/100</f>
        <v>0.68799999999999994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8E9D0-2CE7-4F4C-B9AB-15E0B21D93CB}">
  <sheetPr codeName="Sheet5"/>
  <dimension ref="A1:K21"/>
  <sheetViews>
    <sheetView topLeftCell="A13" zoomScaleNormal="100" workbookViewId="0">
      <selection activeCell="H17" sqref="H17"/>
    </sheetView>
  </sheetViews>
  <sheetFormatPr defaultRowHeight="14"/>
  <cols>
    <col min="1" max="1" width="41.81640625" style="31" customWidth="1"/>
    <col min="2" max="2" width="79.26953125" style="31" customWidth="1"/>
    <col min="3" max="4" width="8.7265625" style="31"/>
    <col min="5" max="5" width="11" style="31" bestFit="1" customWidth="1"/>
    <col min="6" max="16384" width="8.7265625" style="31"/>
  </cols>
  <sheetData>
    <row r="1" spans="1:11" ht="14.5" thickBot="1">
      <c r="A1" s="42" t="s">
        <v>2</v>
      </c>
      <c r="B1" s="43" t="str">
        <f>'Title Page'!C4</f>
        <v>Norfolk</v>
      </c>
    </row>
    <row r="2" spans="1:11" ht="35">
      <c r="J2" s="31" t="s">
        <v>696</v>
      </c>
      <c r="K2" s="44" t="str">
        <f>J2</f>
        <v>Finance</v>
      </c>
    </row>
    <row r="3" spans="1:11">
      <c r="A3" s="70" t="s">
        <v>49</v>
      </c>
    </row>
    <row r="5" spans="1:11" ht="105">
      <c r="A5" s="51" t="str">
        <f>"Gross total expenditure equalled £" &amp;
IF(
    _xlfn.XLOOKUP(B1,Datasheet!A:A,Datasheet!AP:AP)&gt;=1000000,
    ROUND(_xlfn.XLOOKUP(B1,Datasheet!A:A,Datasheet!AP:AP)/1000000,1) &amp; " billion",
    IF(
        _xlfn.XLOOKUP(B1,Datasheet!A:A,Datasheet!AP:AP)&gt;=1000,
        ROUND(_xlfn.XLOOKUP(B1,Datasheet!A:A,Datasheet!AP:AP)/1000,1) &amp; " million",
        TEXT(ROUND(_xlfn.XLOOKUP(B1,Datasheet!A:A,Datasheet!AP:AP),-3),"#,##0")
    )
) &amp;
" in 2024/25 in " &amp; B1</f>
        <v>Gross total expenditure equalled £548.7 million in 2024/25 in Norfolk</v>
      </c>
      <c r="B5" s="52" t="str">
        <f>A5</f>
        <v>Gross total expenditure equalled £548.7 million in 2024/25 in Norfolk</v>
      </c>
    </row>
    <row r="6" spans="1:11" ht="35">
      <c r="A6" s="65" t="str">
        <f>IF(
    _xlfn.XLOOKUP(B1,Calculations!A:A,Calculations!W:W)&gt;=0,
    "An increase of ",
    "A decrease of "
)&amp;TEXT(ABS(_xlfn.XLOOKUP(B1,Calculations!A:A,Calculations!W:W)/100),"0.0%")&amp;
" on 2023/24"</f>
        <v>An increase of 6.4% on 2023/24</v>
      </c>
      <c r="B6" s="52" t="str">
        <f>A6</f>
        <v>An increase of 6.4% on 2023/24</v>
      </c>
      <c r="D6" s="109"/>
    </row>
    <row r="7" spans="1:11" ht="70">
      <c r="A7" s="65" t="str">
        <f>"Equivalent to £" &amp;
ROUND(_xlfn.XLOOKUP(B1, Calculations!A:A, Calculations!AG:AG), 0) &amp;
" per adult in the population"</f>
        <v>Equivalent to £707 per adult in the population</v>
      </c>
      <c r="B7" s="71" t="str">
        <f>A7</f>
        <v>Equivalent to £707 per adult in the population</v>
      </c>
    </row>
    <row r="8" spans="1:11" ht="70">
      <c r="A8" s="65" t="str">
        <f>TEXT(_xlfn.XLOOKUP(B1, Calculations!A:A, Calculations!X:X), "0%") &amp;
" of overall Local Authority net revenue expenditure)"</f>
        <v>62% of overall Local Authority net revenue expenditure)</v>
      </c>
      <c r="B8" s="71" t="str">
        <f>A8</f>
        <v>62% of overall Local Authority net revenue expenditure)</v>
      </c>
      <c r="F8" s="109"/>
    </row>
    <row r="9" spans="1:11" ht="140">
      <c r="A9" s="65" t="str">
        <f>"£" &amp;
IF(
    _xlfn.XLOOKUP(B1, Datasheet!A:A, Datasheet!BB:BB) &gt;= 1000000,
        ROUND(_xlfn.XLOOKUP(B1, Datasheet!A:A, Datasheet!BB:BB) / 1000000, 1) &amp; " billion",
    IF(
        _xlfn.XLOOKUP(B1, Datasheet!A:A, Datasheet!BB:BB) &gt;= 1000,
            ROUND(_xlfn.XLOOKUP(B1, Datasheet!A:A, Datasheet!BB:BB) / 1000, 1) &amp; " million",
            TEXT(ROUND(_xlfn.XLOOKUP(B1, Datasheet!A:A, Datasheet!BB:BB), -3), "#,##0")
    )
) &amp;
" was spent on long and short-term care, (" &amp;
TEXT(ABS(_xlfn.XLOOKUP(B1, Calculations!A:A, Calculations!AE:AE)), "0.0%") &amp; " " &amp;
IF(
    _xlfn.XLOOKUP(B1, Calculations!A:A, Calculations!AE:AE) &gt;= 0,
        "increase",
        "decrease"
) &amp;
" on 2023/24), of which " &amp;
TEXT(_xlfn.XLOOKUP(B1, Calculations!A:A, Calculations!AF:AF), "0%") &amp;
" was spent on older adults"</f>
        <v>£394.6 million was spent on long and short-term care, (6.9% increase on 2023/24), of which 64% was spent on older adults</v>
      </c>
      <c r="B9" s="71" t="str">
        <f>A9</f>
        <v>£394.6 million was spent on long and short-term care, (6.9% increase on 2023/24), of which 64% was spent on older adults</v>
      </c>
      <c r="C9" s="66" t="str">
        <f>TEXT(ABS(_xlfn.XLOOKUP(B1, Calculations!A:A, Calculations!AE:AE)), "0.0%")</f>
        <v>6.9%</v>
      </c>
    </row>
    <row r="10" spans="1:11" ht="35">
      <c r="A10" s="65" t="s">
        <v>634</v>
      </c>
      <c r="B10" s="72">
        <f>_xlfn.XLOOKUP(B1,Calculations!A:A,Calculations!Z:Z)</f>
        <v>0.62062559568361597</v>
      </c>
      <c r="C10" s="66"/>
    </row>
    <row r="11" spans="1:11" ht="35">
      <c r="A11" s="65" t="s">
        <v>637</v>
      </c>
      <c r="B11" s="72">
        <f>_xlfn.XLOOKUP(B1,Calculations!A:A,Calculations!AB:AB)</f>
        <v>0.59728166111903624</v>
      </c>
      <c r="C11" s="66"/>
    </row>
    <row r="12" spans="1:11">
      <c r="D12" s="31" t="str">
        <f>"Adult Social Care Income Breakdown - "&amp;B1</f>
        <v>Adult Social Care Income Breakdown - Norfolk</v>
      </c>
      <c r="E12" s="31" t="s">
        <v>671</v>
      </c>
      <c r="F12" s="31" t="s">
        <v>588</v>
      </c>
    </row>
    <row r="13" spans="1:11" ht="73.5" customHeight="1">
      <c r="A13" s="109" t="str">
        <f>"£" &amp;
IF(
    _xlfn.XLOOKUP(B1,Datasheet!A:A,Datasheet!AU:AU)&gt;=1000000,
        TEXT(ROUND(_xlfn.XLOOKUP(B1,Datasheet!A:A,Datasheet!AU:AU)/1000000,1),"0.0") &amp; " billion",
    IF(
        _xlfn.XLOOKUP(B1,Datasheet!A:A,Datasheet!AU:AU)&gt;=1000,
            TEXT(ROUND(_xlfn.XLOOKUP(B1,Datasheet!A:A,Datasheet!AU:AU)/1000,1),"0.0") &amp; " million",
            TEXT(ROUND(_xlfn.XLOOKUP(B1,Datasheet!A:A,Datasheet!AU:AU)*1000,-3),"#,##0")
    )
)
&amp; " was spent on long-term care (" &amp;
TEXT(_xlfn.XLOOKUP(B1,Calculations!A:A,Calculations!AC:AC),"0%") &amp;
" of care costs)"</f>
        <v>£379.7 million was spent on long-term care (96% of care costs)</v>
      </c>
      <c r="B13" s="73" t="str">
        <f>A13</f>
        <v>£379.7 million was spent on long-term care (96% of care costs)</v>
      </c>
      <c r="D13" s="31" t="s">
        <v>666</v>
      </c>
      <c r="E13" s="86">
        <f>_xlfn.XLOOKUP($B$1,Datasheet!$A:$A,Datasheet!BG:BG)/1000</f>
        <v>81.076999999999998</v>
      </c>
      <c r="F13" s="77">
        <f>E13/SUM($E$13:$E$17)</f>
        <v>0.42018605374310075</v>
      </c>
      <c r="H13" s="31" t="s">
        <v>682</v>
      </c>
    </row>
    <row r="14" spans="1:11" ht="70">
      <c r="A14" s="56" t="str">
        <f>"£" &amp;
IF(
    _xlfn.XLOOKUP(B1,Datasheet!A:A,Datasheet!AZ:AZ)&gt;=1000000,
        TEXT(ROUND(_xlfn.XLOOKUP(B1,Datasheet!A:A,Datasheet!AZ:AZ)/1000000,1),"0.0") &amp; " billion",
    IF(
        _xlfn.XLOOKUP(B1,Datasheet!A:A,Datasheet!AZ:AZ)&gt;=1000,
            TEXT(ROUND(_xlfn.XLOOKUP(B1,Datasheet!A:A,Datasheet!AZ:AZ)/1000,1),"0.0") &amp; " million",
            TEXT(ROUND(_xlfn.XLOOKUP(B1,Datasheet!A:A,Datasheet!AZ:AZ)*1000,-3),"#,##0")
    )
)
&amp; " was spent on long-term care (" &amp;
TEXT(_xlfn.XLOOKUP(B1,Calculations!A:A,Calculations!AD:AD),"0%") &amp;
" of care costs)"</f>
        <v>£14.9 million was spent on long-term care (4% of care costs)</v>
      </c>
      <c r="B14" s="73" t="str">
        <f>A14</f>
        <v>£14.9 million was spent on long-term care (4% of care costs)</v>
      </c>
      <c r="D14" s="31" t="s">
        <v>667</v>
      </c>
      <c r="E14" s="86">
        <f>_xlfn.XLOOKUP($B$1,Datasheet!$A:$A,Datasheet!BH:BH)/1000</f>
        <v>0</v>
      </c>
      <c r="F14" s="77">
        <f>E14/SUM($E$13:$E$17)</f>
        <v>0</v>
      </c>
    </row>
    <row r="15" spans="1:11" ht="70">
      <c r="A15" s="56" t="str">
        <f>"£" &amp;
IF(
    _xlfn.XLOOKUP(B1,Calculations!A:A,Calculations!Y:Y)&gt;=1000000,
        TEXT(ROUND(_xlfn.XLOOKUP(B1,Calculations!A:A,Calculations!Y:Y)/1000000,1),"0.0") &amp; " billion",
    IF(
        _xlfn.XLOOKUP(B1,Calculations!A:A,Calculations!Y:Y)&gt;=1000,
            TEXT(ROUND(_xlfn.XLOOKUP(B1,Calculations!A:A,Calculations!Y:Y)/1000,1),"0.0") &amp; " million",
            TEXT(ROUND(_xlfn.XLOOKUP(B1,Calculations!A:A,Calculations!Y:Y)*1000,-3),"#,##0")
    )
)
&amp; " was spent on people aged 18-64"</f>
        <v>£185.7 million was spent on people aged 18-64</v>
      </c>
      <c r="B15" s="74" t="str">
        <f>A15</f>
        <v>£185.7 million was spent on people aged 18-64</v>
      </c>
      <c r="D15" s="31" t="s">
        <v>669</v>
      </c>
      <c r="E15" s="86">
        <f>_xlfn.XLOOKUP($B$1,Datasheet!$A:$A,Datasheet!BI:BI)/1000</f>
        <v>37.046999999999997</v>
      </c>
      <c r="F15" s="77">
        <f>E15/SUM($E$13:$E$17)</f>
        <v>0.19199813428001347</v>
      </c>
    </row>
    <row r="16" spans="1:11" ht="70">
      <c r="A16" s="56" t="str">
        <f>"£" &amp;
IF(
    _xlfn.XLOOKUP(B1,Calculations!A:A,Calculations!AA:AA)&gt;=1000000,
        TEXT(ROUND(_xlfn.XLOOKUP(B1,Calculations!A:A,Calculations!AA:AA)/1000000,1),"0.0") &amp; " billion",
    IF(
        _xlfn.XLOOKUP(B1,Calculations!A:A,Calculations!AA:AA)&gt;=1000,
            TEXT(ROUND(_xlfn.XLOOKUP(B1,Calculations!A:A,Calculations!AA:AA)/1000,1),"0.0") &amp; " million",
            TEXT(ROUND(_xlfn.XLOOKUP(B1,Calculations!A:A,Calculations!AA:AA)*1000,-3),"#,##0")
    )
)
&amp; " was spent on people aged 65 and over"</f>
        <v>£252.4 million was spent on people aged 65 and over</v>
      </c>
      <c r="B16" s="75" t="str">
        <f>A16</f>
        <v>£252.4 million was spent on people aged 65 and over</v>
      </c>
      <c r="D16" s="31" t="s">
        <v>670</v>
      </c>
      <c r="E16" s="86">
        <f>_xlfn.XLOOKUP($B$1,Datasheet!$A:$A,Datasheet!BJ:BJ)/1000</f>
        <v>72.332999999999998</v>
      </c>
      <c r="F16" s="77">
        <f>E16/SUM($E$13:$E$17)</f>
        <v>0.37486978829260709</v>
      </c>
    </row>
    <row r="17" spans="1:6">
      <c r="D17" s="31" t="s">
        <v>668</v>
      </c>
      <c r="E17" s="86">
        <f>_xlfn.XLOOKUP($B$1,Datasheet!$A:$A,Datasheet!BK:BK)/1000</f>
        <v>2.4980000000000002</v>
      </c>
      <c r="F17" s="77">
        <f>E17/SUM($E$13:$E$17)</f>
        <v>1.294602368427872E-2</v>
      </c>
    </row>
    <row r="18" spans="1:6" ht="29">
      <c r="A18" s="56" t="s">
        <v>652</v>
      </c>
      <c r="B18" s="84">
        <f>_xlfn.XLOOKUP(B1,Datasheet!A:A,Datasheet!BC:BC)</f>
        <v>29123.64</v>
      </c>
    </row>
    <row r="19" spans="1:6" ht="29">
      <c r="A19" s="56" t="s">
        <v>654</v>
      </c>
      <c r="B19" s="85">
        <f>_xlfn.XLOOKUP(B1,Datasheet!A:A,Datasheet!BD:BD)</f>
        <v>18140.689999999999</v>
      </c>
    </row>
    <row r="20" spans="1:6" ht="29">
      <c r="A20" s="56" t="s">
        <v>653</v>
      </c>
      <c r="B20" s="84">
        <f>_xlfn.XLOOKUP(B1,Datasheet!A:A,Datasheet!BE:BE)</f>
        <v>346.37</v>
      </c>
    </row>
    <row r="21" spans="1:6" ht="29">
      <c r="A21" s="56" t="s">
        <v>655</v>
      </c>
      <c r="B21" s="85">
        <f>_xlfn.XLOOKUP(B1,Datasheet!A:A,Datasheet!BF:BF)</f>
        <v>1052.82</v>
      </c>
    </row>
  </sheetData>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29645-3645-4C0E-9384-284699A9E70A}">
  <sheetPr codeName="Sheet6"/>
  <dimension ref="A1:K28"/>
  <sheetViews>
    <sheetView topLeftCell="A13" workbookViewId="0">
      <selection activeCell="G16" sqref="G16"/>
    </sheetView>
  </sheetViews>
  <sheetFormatPr defaultRowHeight="14"/>
  <cols>
    <col min="1" max="1" width="23.54296875" style="31" customWidth="1"/>
    <col min="2" max="2" width="45.81640625" style="31" customWidth="1"/>
    <col min="3" max="4" width="8.7265625" style="31"/>
    <col min="5" max="5" width="13.453125" style="31" bestFit="1" customWidth="1"/>
    <col min="6" max="6" width="11" style="31" bestFit="1" customWidth="1"/>
    <col min="7" max="7" width="8.81640625" style="31" bestFit="1" customWidth="1"/>
    <col min="8" max="16384" width="8.7265625" style="31"/>
  </cols>
  <sheetData>
    <row r="1" spans="1:11" ht="14.5" thickBot="1">
      <c r="A1" s="42" t="s">
        <v>2</v>
      </c>
      <c r="B1" s="43" t="str">
        <f>'Title Page'!C4</f>
        <v>Norfolk</v>
      </c>
    </row>
    <row r="2" spans="1:11" ht="35">
      <c r="J2" s="31" t="s">
        <v>697</v>
      </c>
      <c r="K2" s="44" t="str">
        <f>J2</f>
        <v>Workforce</v>
      </c>
    </row>
    <row r="3" spans="1:11">
      <c r="A3" s="70" t="s">
        <v>58</v>
      </c>
    </row>
    <row r="4" spans="1:11" ht="15.65" customHeight="1">
      <c r="A4" s="31" t="s">
        <v>59</v>
      </c>
      <c r="B4" s="31" t="s">
        <v>60</v>
      </c>
    </row>
    <row r="5" spans="1:11">
      <c r="A5" s="31" t="s">
        <v>61</v>
      </c>
    </row>
    <row r="6" spans="1:11">
      <c r="A6" s="31" t="s">
        <v>62</v>
      </c>
    </row>
    <row r="7" spans="1:11">
      <c r="A7" s="31" t="s">
        <v>63</v>
      </c>
    </row>
    <row r="8" spans="1:11">
      <c r="A8" s="31" t="s">
        <v>64</v>
      </c>
      <c r="B8" s="31" t="s">
        <v>65</v>
      </c>
    </row>
    <row r="9" spans="1:11">
      <c r="A9" s="31" t="s">
        <v>66</v>
      </c>
      <c r="B9" s="31" t="s">
        <v>67</v>
      </c>
    </row>
    <row r="10" spans="1:11">
      <c r="A10" s="31" t="s">
        <v>68</v>
      </c>
    </row>
    <row r="11" spans="1:11">
      <c r="A11" s="31" t="s">
        <v>69</v>
      </c>
    </row>
    <row r="13" spans="1:11" ht="105">
      <c r="A13" s="51" t="str">
        <f>"The ASC sector in " &amp; B1 &amp;
" has " &amp;
_xlfn.LET(
    _xlpm.employees, _xlfn.XLOOKUP(B1,Datasheet!A:A,Datasheet!BL:BL),
    _xlpm.sig, ROUND(_xlpm.employees, -(INT(LOG10(_xlpm.employees))-2)),
    IF(
        _xlpm.employees&gt;=1000000,
        TEXT(_xlpm.sig/1000000, "0.##") &amp; " million",
        TEXT(_xlpm.sig, "#,##0")
    )
) &amp;
" employees as of "&amp;Datasheet!BL3</f>
        <v>The ASC sector in Norfolk has 23,500 employees as of 2024/25</v>
      </c>
      <c r="B13" s="52" t="str">
        <f>A13</f>
        <v>The ASC sector in Norfolk has 23,500 employees as of 2024/25</v>
      </c>
      <c r="C13" s="109"/>
    </row>
    <row r="14" spans="1:11">
      <c r="A14" s="62"/>
      <c r="G14" s="31" t="str">
        <f>"Breakdown of Filled Posts by Sector - "&amp;B1</f>
        <v>Breakdown of Filled Posts by Sector - Norfolk</v>
      </c>
    </row>
    <row r="15" spans="1:11" ht="35">
      <c r="A15" s="51" t="str">
        <f>_xlfn.LET(
    _xlpm.filledposts, _xlfn.XLOOKUP(B1,Datasheet!A:A,Datasheet!BM:BM),
    _xlpm.sig, ROUND(_xlpm.filledposts, -(INT(LOG10(_xlpm.filledposts))-2)),
    IF(
        _xlpm.filledposts&gt;=1000000,
        TEXT(_xlpm.sig/1000000, "0.##") &amp; " million",
        TEXT(_xlpm.sig, "#,##0")
    )
) &amp;
" filled posts"</f>
        <v>25,000 filled posts</v>
      </c>
      <c r="B15" s="52" t="str">
        <f>A15</f>
        <v>25,000 filled posts</v>
      </c>
      <c r="E15" s="42" t="s">
        <v>610</v>
      </c>
      <c r="F15" s="76">
        <f>_xlfn.XLOOKUP(B1,Datasheet!A:A,Datasheet!BO:BO)</f>
        <v>21500</v>
      </c>
      <c r="G15" s="77">
        <f>F15/(F15+F16)</f>
        <v>0.86</v>
      </c>
      <c r="J15" s="31" t="s">
        <v>623</v>
      </c>
    </row>
    <row r="16" spans="1:11" ht="60">
      <c r="A16" s="62"/>
      <c r="B16" s="78" t="s">
        <v>609</v>
      </c>
      <c r="E16" s="42" t="s">
        <v>611</v>
      </c>
      <c r="F16" s="76">
        <f>_xlfn.XLOOKUP(B1,Datasheet!A:A,Datasheet!BP:BP)</f>
        <v>3500</v>
      </c>
      <c r="G16" s="77">
        <f>F16/(F15+F16)</f>
        <v>0.14000000000000001</v>
      </c>
    </row>
    <row r="17" spans="1:6" ht="35">
      <c r="A17" s="51" t="str">
        <f>_xlfn.LET(
    _xlpm.vacancies, _xlfn.XLOOKUP(B1,Datasheet!A:A,Datasheet!BN:BN),
    _xlpm.sig, ROUND(_xlpm.vacancies, -(INT(LOG10(_xlpm.vacancies))-2)),
    IF(
        _xlpm.vacancies&gt;=1000000,
        TEXT(_xlpm.sig/1000000, "0.##") &amp; " million",
        TEXT(_xlpm.sig, "#,##0")
    )
) &amp;
" vacancies"</f>
        <v>1,500 vacancies</v>
      </c>
      <c r="B17" s="52" t="str">
        <f>A17</f>
        <v>1,500 vacancies</v>
      </c>
    </row>
    <row r="19" spans="1:6" ht="35">
      <c r="A19" s="79" t="str">
        <f>_xlfn.XLOOKUP(B1,Datasheet!A:A,Datasheet!BT:BT)&amp;"% Part Time"</f>
        <v>50% Part Time</v>
      </c>
      <c r="B19" s="80" t="str">
        <f>A19</f>
        <v>50% Part Time</v>
      </c>
      <c r="F19" s="77"/>
    </row>
    <row r="20" spans="1:6" ht="35">
      <c r="A20" s="31" t="str">
        <f>_xlfn.XLOOKUP(B1,Datasheet!A:A,Datasheet!BQ:BQ)&amp;"% Female"</f>
        <v>78% Female</v>
      </c>
      <c r="B20" s="80" t="str">
        <f t="shared" ref="B20:B23" si="0">A20</f>
        <v>78% Female</v>
      </c>
      <c r="F20" s="77"/>
    </row>
    <row r="21" spans="1:6" ht="105">
      <c r="A21" s="108" t="str">
        <f>_xlfn.XLOOKUP(B1,Calculations!A:A,Calculations!AM:AM)&amp;"% from an ethnic minority background"</f>
        <v>20% from an ethnic minority background</v>
      </c>
      <c r="B21" s="80" t="str">
        <f>A21</f>
        <v>20% from an ethnic minority background</v>
      </c>
      <c r="C21" s="108"/>
      <c r="F21" s="77"/>
    </row>
    <row r="22" spans="1:6" ht="35">
      <c r="A22" s="31" t="str">
        <f>_xlfn.XLOOKUP(B1,Calculations!A:A,Calculations!AL:AL)&amp;"% non-British"</f>
        <v>24% non-British</v>
      </c>
      <c r="B22" s="80" t="str">
        <f t="shared" si="0"/>
        <v>24% non-British</v>
      </c>
      <c r="F22" s="110"/>
    </row>
    <row r="23" spans="1:6" ht="35">
      <c r="A23" s="31" t="str">
        <f>"Average Age of "&amp;_xlfn.XLOOKUP(B1,Datasheet!A:A,Datasheet!BU:BU)</f>
        <v>Average Age of 44</v>
      </c>
      <c r="B23" s="80" t="str">
        <f t="shared" si="0"/>
        <v>Average Age of 44</v>
      </c>
    </row>
    <row r="25" spans="1:6" ht="71.5" customHeight="1">
      <c r="A25" s="56" t="str">
        <f>TEXT(
    _xlfn.XLOOKUP(B1,Calculations!A:A,Calculations!AH:AH),
    "0%"
) &amp; " direct care" &amp; CHAR(10) &amp;
TEXT(
    _xlfn.XLOOKUP(B1,Datasheet!A:A,Datasheet!BW:BW),
    "#,##0"
) &amp;
" posts in a direct care role"</f>
        <v>68% direct care
17,000 posts in a direct care role</v>
      </c>
      <c r="B25" s="80" t="str">
        <f>A25</f>
        <v>68% direct care
17,000 posts in a direct care role</v>
      </c>
    </row>
    <row r="26" spans="1:6" ht="105">
      <c r="A26" s="56" t="str">
        <f>TEXT(
    _xlfn.XLOOKUP(B1,Calculations!A:A,Calculations!AI:AI),
    "0%"
) &amp; " managerial" &amp; CHAR(10) &amp;
TEXT(
    _xlfn.XLOOKUP(B1,Datasheet!A:A,Datasheet!BX:BX),
    "#,##0"
) &amp;
" posts in a managerial role"</f>
        <v>8% managerial
2,100 posts in a managerial role</v>
      </c>
      <c r="B26" s="80" t="str">
        <f t="shared" ref="B26:B28" si="1">A26</f>
        <v>8% managerial
2,100 posts in a managerial role</v>
      </c>
    </row>
    <row r="27" spans="1:6" ht="245">
      <c r="A27" s="56" t="str">
        <f>TEXT(
    _xlfn.XLOOKUP(B1,Calculations!A:A,Calculations!AJ:AJ),
    "0%"
) &amp; " regulated professionals" &amp; CHAR(10) &amp;
TEXT(
    _xlfn.XLOOKUP(B1,Datasheet!A:A,Datasheet!BY:BY),
    "#,##0"
) &amp;
" Registered nurses, Social workers, Occupational therapists"</f>
        <v>4% regulated professionals
1,100 Registered nurses, Social workers, Occupational therapists</v>
      </c>
      <c r="B27" s="80" t="str">
        <f>A27</f>
        <v>4% regulated professionals
1,100 Registered nurses, Social workers, Occupational therapists</v>
      </c>
    </row>
    <row r="28" spans="1:6" ht="175">
      <c r="A28" s="56" t="str">
        <f>TEXT(
    _xlfn.XLOOKUP(B1,Calculations!A:A,Calculations!AK:AK),
    "0%"
) &amp; " other roles" &amp; CHAR(10) &amp;
TEXT(
    _xlfn.XLOOKUP(B1,Datasheet!A:A,Datasheet!BZ:BZ),
    "#,##0"
) &amp;
" Administrators, HR, Finance and Training roles"</f>
        <v>20% other roles
4,900 Administrators, HR, Finance and Training roles</v>
      </c>
      <c r="B28" s="80" t="str">
        <f t="shared" si="1"/>
        <v>20% other roles
4,900 Administrators, HR, Finance and Training roles</v>
      </c>
    </row>
  </sheetData>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A4128-A8E5-46C1-AC21-7A0D32178504}">
  <sheetPr codeName="Sheet7"/>
  <dimension ref="A1:K32"/>
  <sheetViews>
    <sheetView topLeftCell="A24" workbookViewId="0">
      <selection activeCell="G16" sqref="G16"/>
    </sheetView>
  </sheetViews>
  <sheetFormatPr defaultRowHeight="14"/>
  <cols>
    <col min="1" max="1" width="55.453125" style="31" bestFit="1" customWidth="1"/>
    <col min="2" max="2" width="65.26953125" style="31" customWidth="1"/>
    <col min="3" max="3" width="15" style="31" bestFit="1" customWidth="1"/>
    <col min="4" max="16384" width="8.7265625" style="31"/>
  </cols>
  <sheetData>
    <row r="1" spans="1:11" ht="14.5" thickBot="1">
      <c r="A1" s="42" t="s">
        <v>2</v>
      </c>
      <c r="B1" s="43" t="str">
        <f>'Title Page'!C4</f>
        <v>Norfolk</v>
      </c>
    </row>
    <row r="2" spans="1:11" ht="35">
      <c r="J2" s="31" t="s">
        <v>698</v>
      </c>
      <c r="K2" s="44" t="str">
        <f>J2</f>
        <v>Outcomes</v>
      </c>
    </row>
    <row r="3" spans="1:11">
      <c r="A3" s="70" t="s">
        <v>73</v>
      </c>
      <c r="C3" s="31" t="s">
        <v>74</v>
      </c>
      <c r="D3" s="31" t="s">
        <v>75</v>
      </c>
      <c r="E3" s="31" t="s">
        <v>76</v>
      </c>
    </row>
    <row r="4" spans="1:11">
      <c r="A4" s="81" t="s">
        <v>77</v>
      </c>
      <c r="C4" s="82">
        <v>10668</v>
      </c>
      <c r="D4" s="82">
        <v>27492</v>
      </c>
      <c r="E4" s="82">
        <v>11107</v>
      </c>
    </row>
    <row r="5" spans="1:11">
      <c r="A5" s="83" t="s">
        <v>78</v>
      </c>
      <c r="C5" s="82">
        <v>10669</v>
      </c>
      <c r="E5" s="82">
        <v>11169</v>
      </c>
    </row>
    <row r="6" spans="1:11">
      <c r="A6" s="83" t="s">
        <v>79</v>
      </c>
    </row>
    <row r="7" spans="1:11">
      <c r="A7" s="83" t="s">
        <v>80</v>
      </c>
      <c r="C7" s="82">
        <v>10671</v>
      </c>
      <c r="E7" s="82">
        <v>11168</v>
      </c>
      <c r="G7" s="82" t="s">
        <v>81</v>
      </c>
    </row>
    <row r="8" spans="1:11">
      <c r="A8" s="83" t="s">
        <v>82</v>
      </c>
    </row>
    <row r="9" spans="1:11">
      <c r="A9" s="83" t="s">
        <v>83</v>
      </c>
    </row>
    <row r="10" spans="1:11">
      <c r="A10" s="83" t="s">
        <v>84</v>
      </c>
      <c r="C10" s="82">
        <v>10689</v>
      </c>
      <c r="E10" s="82">
        <v>11170</v>
      </c>
    </row>
    <row r="11" spans="1:11">
      <c r="A11" s="83" t="s">
        <v>85</v>
      </c>
      <c r="C11" s="82">
        <v>27544</v>
      </c>
    </row>
    <row r="12" spans="1:11">
      <c r="C12" s="82"/>
    </row>
    <row r="15" spans="1:11">
      <c r="B15" s="91" t="str">
        <f>"All adults in " &amp; B1</f>
        <v>All adults in Norfolk</v>
      </c>
      <c r="C15" s="91" t="str">
        <f>"All carers in " &amp; B1</f>
        <v>All carers in Norfolk</v>
      </c>
    </row>
    <row r="16" spans="1:11" ht="137.5" customHeight="1">
      <c r="A16" s="56" t="str">
        <f>"Out of 24, " &amp; B1 &amp; " reports an average social care-related quality of life score of "&amp;_xlfn.XLOOKUP(B1,Datasheet!A:A,Datasheet!CA:CA)</f>
        <v>Out of 24, Norfolk reports an average social care-related quality of life score of 19.1</v>
      </c>
      <c r="B16" s="80" t="str">
        <f t="shared" ref="B16:B17" si="0">A16</f>
        <v>Out of 24, Norfolk reports an average social care-related quality of life score of 19.1</v>
      </c>
      <c r="C16" s="89">
        <f>_xlfn.XLOOKUP($B$1,Datasheet!A:A,Datasheet!CA:CA)</f>
        <v>19.100000000000001</v>
      </c>
    </row>
    <row r="17" spans="1:3" ht="105">
      <c r="A17" s="56" t="str">
        <f>"For those aged between 18 and 64 in " &amp; B1 &amp; ", this score sits at "&amp;_xlfn.XLOOKUP(B1,Datasheet!A:A,Datasheet!CB:CB)</f>
        <v>For those aged between 18 and 64 in Norfolk, this score sits at 18.8</v>
      </c>
      <c r="B17" s="80" t="str">
        <f t="shared" si="0"/>
        <v>For those aged between 18 and 64 in Norfolk, this score sits at 18.8</v>
      </c>
      <c r="C17" s="89">
        <f>_xlfn.XLOOKUP($B$1,Datasheet!A:A,Datasheet!CB:CB)</f>
        <v>18.8</v>
      </c>
    </row>
    <row r="18" spans="1:3" ht="105">
      <c r="A18" s="56" t="str">
        <f>"For those aged 65+ in " &amp; B1 &amp; ", this score sits at "&amp;_xlfn.XLOOKUP(B1,Datasheet!A:A,Datasheet!CC:CC)</f>
        <v>For those aged 65+ in Norfolk, this score sits at 19.2</v>
      </c>
      <c r="B18" s="80" t="str">
        <f t="shared" ref="B18" si="1">A18</f>
        <v>For those aged 65+ in Norfolk, this score sits at 19.2</v>
      </c>
      <c r="C18" s="90">
        <f>_xlfn.XLOOKUP($B$1,Datasheet!A:A,Datasheet!CC:CC)</f>
        <v>19.2</v>
      </c>
    </row>
    <row r="20" spans="1:3" ht="97.5">
      <c r="A20" s="56" t="str">
        <f>"In " &amp; B1 &amp; ", " &amp;_xlfn.XLOOKUP(B1,Datasheet!A:A,Datasheet!CD:CD) &amp; "% of people feel they have control over their daily life"</f>
        <v>In Norfolk, 77.4% of people feel they have control over their daily life</v>
      </c>
      <c r="B20" s="103" t="str">
        <f t="shared" ref="B20" si="2">A20</f>
        <v>In Norfolk, 77.4% of people feel they have control over their daily life</v>
      </c>
    </row>
    <row r="21" spans="1:3" ht="105">
      <c r="A21" s="56" t="str">
        <f>"In " &amp; B1 &amp; ", " &amp;_xlfn.XLOOKUP(B1,Datasheet!A:A,Datasheet!CE:CE) &amp; "% of people aged 65+ have control over their daily life"</f>
        <v>In Norfolk, 75.3% of people aged 65+ have control over their daily life</v>
      </c>
      <c r="B21" s="80" t="str">
        <f t="shared" ref="B21" si="3">A21</f>
        <v>In Norfolk, 75.3% of people aged 65+ have control over their daily life</v>
      </c>
    </row>
    <row r="23" spans="1:3" ht="105">
      <c r="A23" s="56" t="str">
        <f>"Out of 12, " &amp; B1 &amp; " reports an average quality of life score for carers of "&amp;_xlfn.XLOOKUP(B1,Datasheet!A:A,Datasheet!CF:CF)</f>
        <v>Out of 12, Norfolk reports an average quality of life score for carers of 7.2</v>
      </c>
      <c r="B23" s="80" t="str">
        <f t="shared" ref="B23" si="4">A23</f>
        <v>Out of 12, Norfolk reports an average quality of life score for carers of 7.2</v>
      </c>
      <c r="C23" s="94">
        <f>_xlfn.XLOOKUP($B$1,Datasheet!A:A,Datasheet!CF:CF)</f>
        <v>7.2</v>
      </c>
    </row>
    <row r="24" spans="1:3" ht="105">
      <c r="A24" s="56" t="str">
        <f>"Amongst carers who are 65+ in " &amp; $B$1 &amp; ", the quality of life score sits at "&amp;_xlfn.XLOOKUP($B$1,Datasheet!A:A,Datasheet!CG:CG)</f>
        <v>Amongst carers who are 65+ in Norfolk, the quality of life score sits at 7.4</v>
      </c>
      <c r="B24" s="80" t="str">
        <f t="shared" ref="B24" si="5">A24</f>
        <v>Amongst carers who are 65+ in Norfolk, the quality of life score sits at 7.4</v>
      </c>
      <c r="C24" s="94">
        <f>_xlfn.XLOOKUP($B$1,Datasheet!A:A,Datasheet!CG:CG)</f>
        <v>7.4</v>
      </c>
    </row>
    <row r="26" spans="1:3" ht="105">
      <c r="A26" s="56" t="str">
        <f>"Amongst all adults using services in " &amp; $B$1 &amp; ", " &amp;
TEXT(_xlfn.XLOOKUP($B$1,Datasheet!A:A,Datasheet!CH:CH),"0.0") &amp;
"% feel safe"</f>
        <v>Amongst all adults using services in Norfolk, 68.8% feel safe</v>
      </c>
      <c r="B26" s="80" t="str">
        <f>A26</f>
        <v>Amongst all adults using services in Norfolk, 68.8% feel safe</v>
      </c>
    </row>
    <row r="27" spans="1:3" ht="105">
      <c r="A27" s="56" t="str">
        <f>"Amongst all adults aged 65+ using services in " &amp; $B$1 &amp; ", " &amp;
TEXT(_xlfn.XLOOKUP($B$1,Datasheet!A:A,Datasheet!CI:CI),"0.0") &amp;
"% feel safe"</f>
        <v>Amongst all adults aged 65+ using services in Norfolk, 73.2% feel safe</v>
      </c>
      <c r="B27" s="80" t="str">
        <f t="shared" ref="B27" si="6">A27</f>
        <v>Amongst all adults aged 65+ using services in Norfolk, 73.2% feel safe</v>
      </c>
    </row>
    <row r="29" spans="1:3" ht="132" customHeight="1">
      <c r="A29" s="56" t="str">
        <f>"In " &amp; $B$1 &amp; ", "&amp;_xlfn.XLOOKUP($B$1,Datasheet!A:A,Datasheet!CJ:CJ) &amp; "% of care homes are rated as good or outstanding by the CQC"</f>
        <v>In Norfolk, 66.4% of care homes are rated as good or outstanding by the CQC</v>
      </c>
      <c r="B29" s="80" t="str">
        <f t="shared" ref="B29" si="7">A29</f>
        <v>In Norfolk, 66.4% of care homes are rated as good or outstanding by the CQC</v>
      </c>
    </row>
    <row r="31" spans="1:3" ht="105">
      <c r="A31" s="56" t="str">
        <f>"In " &amp;
 $B$1 &amp;
 ", " &amp;
 TEXT(
     _xlfn.XLOOKUP(
         $B$1,
         Datasheet!A:A,
         Datasheet!CL:CL
     ),
     "#,##0"
 ) &amp;
 " carers are supported by the local authority"</f>
        <v>In Norfolk, 3,805 carers are supported by the local authority</v>
      </c>
      <c r="B31" s="80" t="str">
        <f t="shared" ref="B31:B32" si="8">A31</f>
        <v>In Norfolk, 3,805 carers are supported by the local authority</v>
      </c>
    </row>
    <row r="32" spans="1:3" ht="70">
      <c r="A32" s="56" t="str">
        <f>"This is " &amp;
 IF(
     _xlfn.XLOOKUP(B1, Calculations!A:A, Calculations!AN:AN) &gt; 0,
     "an increase",
     "a decrease"
 ) &amp;
 " of " &amp;
 TEXT(
     ABS(_xlfn.XLOOKUP(
         B1,
         Calculations!A:A,
         Calculations!AN:AN
     )),
     "0.0%"
 ) &amp;
 " on the previous year"</f>
        <v>This is a decrease of 2.6% on the previous year</v>
      </c>
      <c r="B32" s="80" t="str">
        <f t="shared" si="8"/>
        <v>This is a decrease of 2.6% on the previous year</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64F81-3D3B-45E0-A00E-BCCF427C5365}">
  <sheetPr codeName="Sheet10">
    <tabColor theme="1"/>
  </sheetPr>
  <dimension ref="A1"/>
  <sheetViews>
    <sheetView workbookViewId="0"/>
  </sheetViews>
  <sheetFormatPr defaultRowHeight="14.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FB06-4C79-4E92-9520-1C1BABC9E590}">
  <dimension ref="A1:CL172"/>
  <sheetViews>
    <sheetView topLeftCell="J1" workbookViewId="0">
      <selection activeCell="Z16" sqref="Z16"/>
    </sheetView>
  </sheetViews>
  <sheetFormatPr defaultRowHeight="14"/>
  <cols>
    <col min="1" max="3" width="8.7265625" style="31"/>
    <col min="4" max="7" width="10.7265625" style="31" bestFit="1" customWidth="1"/>
    <col min="8" max="8" width="9.6328125" style="31" bestFit="1" customWidth="1"/>
    <col min="9" max="9" width="10.7265625" style="31" bestFit="1" customWidth="1"/>
    <col min="10" max="11" width="9.6328125" style="31" bestFit="1" customWidth="1"/>
    <col min="12" max="16" width="8.81640625" style="31" bestFit="1" customWidth="1"/>
    <col min="17" max="17" width="10.7265625" style="31" bestFit="1" customWidth="1"/>
    <col min="18" max="18" width="8.81640625" style="31" bestFit="1" customWidth="1"/>
    <col min="19" max="19" width="9.6328125" style="31" bestFit="1" customWidth="1"/>
    <col min="20" max="20" width="8.81640625" style="31" bestFit="1" customWidth="1"/>
    <col min="21" max="21" width="9.6328125" style="31" bestFit="1" customWidth="1"/>
    <col min="22" max="22" width="8.81640625" style="31" bestFit="1" customWidth="1"/>
    <col min="23" max="23" width="9.6328125" style="31" bestFit="1" customWidth="1"/>
    <col min="24" max="40" width="8.81640625" style="31" bestFit="1" customWidth="1"/>
    <col min="41" max="47" width="10.7265625" style="31" bestFit="1" customWidth="1"/>
    <col min="48" max="48" width="8.81640625" style="31" bestFit="1" customWidth="1"/>
    <col min="49" max="49" width="9.6328125" style="31" bestFit="1" customWidth="1"/>
    <col min="50" max="50" width="8.81640625" style="31" bestFit="1" customWidth="1"/>
    <col min="51" max="52" width="9.6328125" style="31" bestFit="1" customWidth="1"/>
    <col min="53" max="54" width="10.7265625" style="31" bestFit="1" customWidth="1"/>
    <col min="55" max="56" width="9.6328125" style="31" bestFit="1" customWidth="1"/>
    <col min="57" max="58" width="8.81640625" style="31" bestFit="1" customWidth="1"/>
    <col min="59" max="59" width="9.6328125" style="31" bestFit="1" customWidth="1"/>
    <col min="60" max="60" width="8.81640625" style="31" bestFit="1" customWidth="1"/>
    <col min="61" max="62" width="9.6328125" style="31" bestFit="1" customWidth="1"/>
    <col min="63" max="63" width="8.81640625" style="31" bestFit="1" customWidth="1"/>
    <col min="64" max="65" width="9.6328125" style="31" bestFit="1" customWidth="1"/>
    <col min="66" max="66" width="8.81640625" style="31" bestFit="1" customWidth="1"/>
    <col min="67" max="67" width="9.6328125" style="31" bestFit="1" customWidth="1"/>
    <col min="68" max="74" width="8.81640625" style="31" bestFit="1" customWidth="1"/>
    <col min="75" max="75" width="9.6328125" style="31" bestFit="1" customWidth="1"/>
    <col min="76" max="90" width="8.81640625" style="31" bestFit="1" customWidth="1"/>
    <col min="91" max="16384" width="8.7265625" style="31"/>
  </cols>
  <sheetData>
    <row r="1" spans="1:90" s="42" customFormat="1" ht="14.5">
      <c r="A1" t="s">
        <v>86</v>
      </c>
      <c r="B1" t="s">
        <v>87</v>
      </c>
      <c r="C1" t="s">
        <v>88</v>
      </c>
      <c r="D1" t="s">
        <v>568</v>
      </c>
      <c r="E1" t="s">
        <v>568</v>
      </c>
      <c r="F1" t="s">
        <v>714</v>
      </c>
      <c r="G1" t="s">
        <v>714</v>
      </c>
      <c r="H1" t="s">
        <v>715</v>
      </c>
      <c r="I1" t="s">
        <v>715</v>
      </c>
      <c r="J1" t="s">
        <v>20</v>
      </c>
      <c r="K1" t="s">
        <v>20</v>
      </c>
      <c r="L1" t="s">
        <v>580</v>
      </c>
      <c r="M1" t="s">
        <v>1098</v>
      </c>
      <c r="N1" t="s">
        <v>1099</v>
      </c>
      <c r="O1" t="s">
        <v>1100</v>
      </c>
      <c r="P1" t="s">
        <v>1101</v>
      </c>
      <c r="Q1" t="s">
        <v>573</v>
      </c>
      <c r="R1" t="s">
        <v>574</v>
      </c>
      <c r="S1" t="s">
        <v>575</v>
      </c>
      <c r="T1" t="s">
        <v>576</v>
      </c>
      <c r="U1" t="s">
        <v>577</v>
      </c>
      <c r="V1" t="s">
        <v>578</v>
      </c>
      <c r="W1" t="s">
        <v>579</v>
      </c>
      <c r="X1" t="s">
        <v>581</v>
      </c>
      <c r="Y1" t="s">
        <v>582</v>
      </c>
      <c r="Z1" t="s">
        <v>583</v>
      </c>
      <c r="AA1" t="s">
        <v>39</v>
      </c>
      <c r="AB1" t="s">
        <v>39</v>
      </c>
      <c r="AC1" t="s">
        <v>672</v>
      </c>
      <c r="AD1" t="s">
        <v>43</v>
      </c>
      <c r="AE1" t="s">
        <v>44</v>
      </c>
      <c r="AF1" t="s">
        <v>45</v>
      </c>
      <c r="AG1" t="s">
        <v>674</v>
      </c>
      <c r="AH1" t="s">
        <v>46</v>
      </c>
      <c r="AI1" t="s">
        <v>47</v>
      </c>
      <c r="AJ1" t="s">
        <v>48</v>
      </c>
      <c r="AK1" t="s">
        <v>675</v>
      </c>
      <c r="AL1" t="s">
        <v>678</v>
      </c>
      <c r="AM1" t="s">
        <v>679</v>
      </c>
      <c r="AN1" t="s">
        <v>689</v>
      </c>
      <c r="AO1" t="s">
        <v>716</v>
      </c>
      <c r="AP1" t="s">
        <v>716</v>
      </c>
      <c r="AQ1" t="s">
        <v>717</v>
      </c>
      <c r="AR1" t="s">
        <v>629</v>
      </c>
      <c r="AS1" t="s">
        <v>50</v>
      </c>
      <c r="AT1" t="s">
        <v>51</v>
      </c>
      <c r="AU1" t="s">
        <v>52</v>
      </c>
      <c r="AV1" t="s">
        <v>53</v>
      </c>
      <c r="AW1" t="s">
        <v>632</v>
      </c>
      <c r="AX1" t="s">
        <v>54</v>
      </c>
      <c r="AY1" t="s">
        <v>635</v>
      </c>
      <c r="AZ1" t="s">
        <v>55</v>
      </c>
      <c r="BA1" t="s">
        <v>56</v>
      </c>
      <c r="BB1" t="s">
        <v>56</v>
      </c>
      <c r="BC1" t="s">
        <v>656</v>
      </c>
      <c r="BD1" t="s">
        <v>657</v>
      </c>
      <c r="BE1" t="s">
        <v>658</v>
      </c>
      <c r="BF1" t="s">
        <v>659</v>
      </c>
      <c r="BG1" t="s">
        <v>662</v>
      </c>
      <c r="BH1" t="s">
        <v>663</v>
      </c>
      <c r="BI1" t="s">
        <v>57</v>
      </c>
      <c r="BJ1" t="s">
        <v>664</v>
      </c>
      <c r="BK1" t="s">
        <v>665</v>
      </c>
      <c r="BL1" t="s">
        <v>607</v>
      </c>
      <c r="BM1" t="s">
        <v>608</v>
      </c>
      <c r="BN1" t="s">
        <v>605</v>
      </c>
      <c r="BO1" t="s">
        <v>612</v>
      </c>
      <c r="BP1" t="s">
        <v>613</v>
      </c>
      <c r="BQ1" t="s">
        <v>70</v>
      </c>
      <c r="BR1" t="s">
        <v>71</v>
      </c>
      <c r="BS1" t="s">
        <v>72</v>
      </c>
      <c r="BT1" t="s">
        <v>617</v>
      </c>
      <c r="BU1" t="s">
        <v>618</v>
      </c>
      <c r="BV1" t="s">
        <v>620</v>
      </c>
      <c r="BW1" t="s">
        <v>624</v>
      </c>
      <c r="BX1" t="s">
        <v>625</v>
      </c>
      <c r="BY1" t="s">
        <v>626</v>
      </c>
      <c r="BZ1" t="s">
        <v>627</v>
      </c>
      <c r="CA1" t="s">
        <v>703</v>
      </c>
      <c r="CB1" t="s">
        <v>704</v>
      </c>
      <c r="CC1" t="s">
        <v>705</v>
      </c>
      <c r="CD1" t="s">
        <v>706</v>
      </c>
      <c r="CE1" t="s">
        <v>640</v>
      </c>
      <c r="CF1" t="s">
        <v>641</v>
      </c>
      <c r="CG1" t="s">
        <v>643</v>
      </c>
      <c r="CH1" t="s">
        <v>644</v>
      </c>
      <c r="CI1" t="s">
        <v>646</v>
      </c>
      <c r="CJ1" t="s">
        <v>647</v>
      </c>
      <c r="CK1" t="s">
        <v>649</v>
      </c>
      <c r="CL1" t="s">
        <v>649</v>
      </c>
    </row>
    <row r="2" spans="1:90" ht="14.5">
      <c r="A2" t="s">
        <v>86</v>
      </c>
      <c r="B2" t="s">
        <v>87</v>
      </c>
      <c r="C2" t="s">
        <v>88</v>
      </c>
      <c r="D2">
        <v>173</v>
      </c>
      <c r="E2">
        <v>173</v>
      </c>
      <c r="F2">
        <v>175</v>
      </c>
      <c r="G2">
        <v>175</v>
      </c>
      <c r="H2">
        <v>106</v>
      </c>
      <c r="I2">
        <v>106</v>
      </c>
      <c r="J2">
        <v>3287</v>
      </c>
      <c r="K2">
        <v>3287</v>
      </c>
      <c r="L2" t="s">
        <v>585</v>
      </c>
      <c r="M2">
        <v>95</v>
      </c>
      <c r="N2">
        <v>96</v>
      </c>
      <c r="O2">
        <v>3155</v>
      </c>
      <c r="P2">
        <v>3156</v>
      </c>
      <c r="Q2">
        <v>24773</v>
      </c>
      <c r="R2">
        <v>24756</v>
      </c>
      <c r="S2">
        <v>3324</v>
      </c>
      <c r="T2">
        <v>3325</v>
      </c>
      <c r="U2">
        <v>3323</v>
      </c>
      <c r="V2">
        <v>3322</v>
      </c>
      <c r="W2">
        <v>3326</v>
      </c>
      <c r="X2">
        <v>1973</v>
      </c>
      <c r="Y2">
        <v>1974</v>
      </c>
      <c r="Z2">
        <v>1975</v>
      </c>
      <c r="AA2">
        <v>13100</v>
      </c>
      <c r="AB2">
        <v>13100</v>
      </c>
      <c r="AC2">
        <v>11494</v>
      </c>
      <c r="AD2">
        <v>11341</v>
      </c>
      <c r="AE2">
        <v>11343</v>
      </c>
      <c r="AF2">
        <v>11344</v>
      </c>
      <c r="AG2">
        <v>27414</v>
      </c>
      <c r="AH2">
        <v>11349</v>
      </c>
      <c r="AI2">
        <v>11351</v>
      </c>
      <c r="AJ2">
        <v>11352</v>
      </c>
      <c r="AK2">
        <v>27416</v>
      </c>
      <c r="AL2">
        <v>11312</v>
      </c>
      <c r="AM2">
        <v>11313</v>
      </c>
      <c r="AN2">
        <v>10680</v>
      </c>
      <c r="AO2">
        <v>11369</v>
      </c>
      <c r="AP2">
        <v>11369</v>
      </c>
      <c r="AQ2">
        <v>7778</v>
      </c>
      <c r="AR2">
        <v>7068</v>
      </c>
      <c r="AS2">
        <v>11370</v>
      </c>
      <c r="AT2">
        <v>11371</v>
      </c>
      <c r="AU2">
        <v>11372</v>
      </c>
      <c r="AV2">
        <v>11373</v>
      </c>
      <c r="AW2">
        <v>24711</v>
      </c>
      <c r="AX2">
        <v>11374</v>
      </c>
      <c r="AY2">
        <v>6978</v>
      </c>
      <c r="AZ2">
        <v>11375</v>
      </c>
      <c r="BA2">
        <v>11376</v>
      </c>
      <c r="BB2">
        <v>11376</v>
      </c>
      <c r="BC2">
        <v>11534</v>
      </c>
      <c r="BD2">
        <v>11535</v>
      </c>
      <c r="BE2">
        <v>11530</v>
      </c>
      <c r="BF2">
        <v>11533</v>
      </c>
      <c r="BG2">
        <v>11359</v>
      </c>
      <c r="BH2">
        <v>11360</v>
      </c>
      <c r="BI2">
        <v>11497</v>
      </c>
      <c r="BJ2">
        <v>11361</v>
      </c>
      <c r="BK2">
        <v>11362</v>
      </c>
      <c r="BL2">
        <v>19246</v>
      </c>
      <c r="BM2">
        <v>22284</v>
      </c>
      <c r="BN2">
        <v>19256</v>
      </c>
      <c r="BO2">
        <v>22280</v>
      </c>
      <c r="BP2">
        <v>22281</v>
      </c>
      <c r="BQ2">
        <v>19282</v>
      </c>
      <c r="BR2">
        <v>19288</v>
      </c>
      <c r="BS2">
        <v>19289</v>
      </c>
      <c r="BT2">
        <v>19204</v>
      </c>
      <c r="BU2">
        <v>19283</v>
      </c>
      <c r="BV2">
        <v>25578</v>
      </c>
      <c r="BW2">
        <v>22285</v>
      </c>
      <c r="BX2">
        <v>22286</v>
      </c>
      <c r="BY2">
        <v>22288</v>
      </c>
      <c r="BZ2">
        <v>22287</v>
      </c>
      <c r="CA2">
        <v>10668</v>
      </c>
      <c r="CB2">
        <v>27492</v>
      </c>
      <c r="CC2">
        <v>11107</v>
      </c>
      <c r="CD2">
        <v>10669</v>
      </c>
      <c r="CE2">
        <v>11169</v>
      </c>
      <c r="CF2">
        <v>10671</v>
      </c>
      <c r="CG2">
        <v>11168</v>
      </c>
      <c r="CH2">
        <v>10689</v>
      </c>
      <c r="CI2">
        <v>11170</v>
      </c>
      <c r="CJ2">
        <v>27544</v>
      </c>
      <c r="CK2">
        <v>11314</v>
      </c>
      <c r="CL2">
        <v>11314</v>
      </c>
    </row>
    <row r="3" spans="1:90" ht="14.5">
      <c r="A3" t="s">
        <v>86</v>
      </c>
      <c r="B3" t="s">
        <v>87</v>
      </c>
      <c r="C3" t="s">
        <v>88</v>
      </c>
      <c r="D3">
        <v>2015</v>
      </c>
      <c r="E3">
        <v>2025</v>
      </c>
      <c r="F3">
        <v>2015</v>
      </c>
      <c r="G3">
        <v>2025</v>
      </c>
      <c r="H3">
        <v>2015</v>
      </c>
      <c r="I3">
        <v>2025</v>
      </c>
      <c r="J3">
        <v>2015</v>
      </c>
      <c r="K3">
        <v>2025</v>
      </c>
      <c r="L3">
        <v>2021</v>
      </c>
      <c r="M3" t="s">
        <v>593</v>
      </c>
      <c r="N3" t="s">
        <v>593</v>
      </c>
      <c r="O3" t="s">
        <v>593</v>
      </c>
      <c r="P3" t="s">
        <v>593</v>
      </c>
      <c r="Q3" t="s">
        <v>594</v>
      </c>
      <c r="R3" t="s">
        <v>594</v>
      </c>
      <c r="S3">
        <v>2021</v>
      </c>
      <c r="T3">
        <v>2021</v>
      </c>
      <c r="U3">
        <v>2021</v>
      </c>
      <c r="V3">
        <v>2021</v>
      </c>
      <c r="W3">
        <v>2021</v>
      </c>
      <c r="X3">
        <v>2021</v>
      </c>
      <c r="Y3">
        <v>2021</v>
      </c>
      <c r="Z3">
        <v>2021</v>
      </c>
      <c r="AA3" s="223">
        <v>45870</v>
      </c>
      <c r="AB3" s="223">
        <v>46235</v>
      </c>
      <c r="AC3" t="s">
        <v>603</v>
      </c>
      <c r="AD3" t="s">
        <v>603</v>
      </c>
      <c r="AE3" t="s">
        <v>603</v>
      </c>
      <c r="AF3" t="s">
        <v>603</v>
      </c>
      <c r="AG3" t="s">
        <v>603</v>
      </c>
      <c r="AH3" t="s">
        <v>603</v>
      </c>
      <c r="AI3" t="s">
        <v>603</v>
      </c>
      <c r="AJ3" t="s">
        <v>603</v>
      </c>
      <c r="AK3" t="s">
        <v>603</v>
      </c>
      <c r="AL3" t="s">
        <v>603</v>
      </c>
      <c r="AM3" t="s">
        <v>603</v>
      </c>
      <c r="AN3" t="s">
        <v>603</v>
      </c>
      <c r="AO3" t="s">
        <v>603</v>
      </c>
      <c r="AP3" t="s">
        <v>1102</v>
      </c>
      <c r="AQ3" t="s">
        <v>1102</v>
      </c>
      <c r="AR3" t="s">
        <v>1102</v>
      </c>
      <c r="AS3" t="s">
        <v>1102</v>
      </c>
      <c r="AT3" t="s">
        <v>1102</v>
      </c>
      <c r="AU3" t="s">
        <v>603</v>
      </c>
      <c r="AV3" t="s">
        <v>1102</v>
      </c>
      <c r="AW3" t="s">
        <v>603</v>
      </c>
      <c r="AX3" t="s">
        <v>1102</v>
      </c>
      <c r="AY3" t="s">
        <v>603</v>
      </c>
      <c r="AZ3" t="s">
        <v>603</v>
      </c>
      <c r="BA3" t="s">
        <v>594</v>
      </c>
      <c r="BB3" t="s">
        <v>603</v>
      </c>
      <c r="BC3" t="s">
        <v>603</v>
      </c>
      <c r="BD3" t="s">
        <v>603</v>
      </c>
      <c r="BE3" t="s">
        <v>1102</v>
      </c>
      <c r="BF3" t="s">
        <v>1102</v>
      </c>
      <c r="BG3" t="s">
        <v>1102</v>
      </c>
      <c r="BH3" t="s">
        <v>1102</v>
      </c>
      <c r="BI3" t="s">
        <v>1102</v>
      </c>
      <c r="BJ3" t="s">
        <v>1102</v>
      </c>
      <c r="BK3" t="s">
        <v>1102</v>
      </c>
      <c r="BL3" t="s">
        <v>603</v>
      </c>
      <c r="BM3" t="s">
        <v>603</v>
      </c>
      <c r="BN3" t="s">
        <v>603</v>
      </c>
      <c r="BO3" t="s">
        <v>603</v>
      </c>
      <c r="BP3" t="s">
        <v>603</v>
      </c>
      <c r="BQ3" t="s">
        <v>603</v>
      </c>
      <c r="BR3" t="s">
        <v>603</v>
      </c>
      <c r="BS3" t="s">
        <v>603</v>
      </c>
      <c r="BT3" t="s">
        <v>603</v>
      </c>
      <c r="BU3" t="s">
        <v>603</v>
      </c>
      <c r="BV3" t="s">
        <v>603</v>
      </c>
      <c r="BW3" t="s">
        <v>603</v>
      </c>
      <c r="BX3" t="s">
        <v>603</v>
      </c>
      <c r="BY3" t="s">
        <v>603</v>
      </c>
      <c r="BZ3" t="s">
        <v>603</v>
      </c>
      <c r="CA3" t="s">
        <v>603</v>
      </c>
      <c r="CB3" t="s">
        <v>603</v>
      </c>
      <c r="CC3" t="s">
        <v>603</v>
      </c>
      <c r="CD3" t="s">
        <v>603</v>
      </c>
      <c r="CE3" t="s">
        <v>603</v>
      </c>
      <c r="CF3" t="s">
        <v>594</v>
      </c>
      <c r="CG3" t="s">
        <v>594</v>
      </c>
      <c r="CH3" t="s">
        <v>603</v>
      </c>
      <c r="CI3" t="s">
        <v>603</v>
      </c>
      <c r="CJ3" t="s">
        <v>603</v>
      </c>
      <c r="CK3" t="s">
        <v>650</v>
      </c>
      <c r="CL3" t="s">
        <v>594</v>
      </c>
    </row>
    <row r="4" spans="1:90" ht="14.5">
      <c r="A4" t="s">
        <v>86</v>
      </c>
      <c r="B4" t="s">
        <v>87</v>
      </c>
      <c r="C4" t="s">
        <v>88</v>
      </c>
      <c r="D4" t="s">
        <v>1103</v>
      </c>
      <c r="E4" t="s">
        <v>1104</v>
      </c>
      <c r="F4" t="s">
        <v>1103</v>
      </c>
      <c r="G4" t="s">
        <v>1104</v>
      </c>
      <c r="H4" t="s">
        <v>1103</v>
      </c>
      <c r="I4" t="s">
        <v>1104</v>
      </c>
      <c r="J4" t="s">
        <v>1103</v>
      </c>
      <c r="K4" t="s">
        <v>1104</v>
      </c>
      <c r="L4" t="s">
        <v>591</v>
      </c>
      <c r="M4" t="s">
        <v>595</v>
      </c>
      <c r="N4" t="s">
        <v>595</v>
      </c>
      <c r="O4" t="s">
        <v>595</v>
      </c>
      <c r="P4" t="s">
        <v>595</v>
      </c>
      <c r="Q4" t="s">
        <v>596</v>
      </c>
      <c r="R4" t="s">
        <v>596</v>
      </c>
      <c r="S4" t="s">
        <v>591</v>
      </c>
      <c r="T4" t="s">
        <v>591</v>
      </c>
      <c r="U4" t="s">
        <v>591</v>
      </c>
      <c r="V4" t="s">
        <v>591</v>
      </c>
      <c r="W4" t="s">
        <v>591</v>
      </c>
      <c r="X4" t="s">
        <v>591</v>
      </c>
      <c r="Y4" t="s">
        <v>591</v>
      </c>
      <c r="Z4" t="s">
        <v>591</v>
      </c>
      <c r="AA4" t="s">
        <v>1105</v>
      </c>
      <c r="AB4" t="s">
        <v>1106</v>
      </c>
      <c r="AC4" t="s">
        <v>604</v>
      </c>
      <c r="AD4" t="s">
        <v>604</v>
      </c>
      <c r="AE4" t="s">
        <v>604</v>
      </c>
      <c r="AF4" t="s">
        <v>604</v>
      </c>
      <c r="AG4" t="s">
        <v>604</v>
      </c>
      <c r="AH4" t="s">
        <v>604</v>
      </c>
      <c r="AI4" t="s">
        <v>604</v>
      </c>
      <c r="AJ4" t="s">
        <v>604</v>
      </c>
      <c r="AK4" t="s">
        <v>604</v>
      </c>
      <c r="AL4" t="s">
        <v>604</v>
      </c>
      <c r="AM4" t="s">
        <v>604</v>
      </c>
      <c r="AN4" t="s">
        <v>604</v>
      </c>
      <c r="AO4" t="s">
        <v>604</v>
      </c>
      <c r="AP4" t="s">
        <v>1107</v>
      </c>
      <c r="AQ4" t="s">
        <v>1107</v>
      </c>
      <c r="AR4" t="s">
        <v>1107</v>
      </c>
      <c r="AS4" t="s">
        <v>1107</v>
      </c>
      <c r="AT4" t="s">
        <v>1107</v>
      </c>
      <c r="AU4" t="s">
        <v>604</v>
      </c>
      <c r="AV4" t="s">
        <v>1107</v>
      </c>
      <c r="AW4" t="s">
        <v>604</v>
      </c>
      <c r="AX4" t="s">
        <v>1107</v>
      </c>
      <c r="AY4" t="s">
        <v>604</v>
      </c>
      <c r="AZ4" t="s">
        <v>604</v>
      </c>
      <c r="BA4" t="s">
        <v>596</v>
      </c>
      <c r="BB4" t="s">
        <v>604</v>
      </c>
      <c r="BC4" t="s">
        <v>604</v>
      </c>
      <c r="BD4" t="s">
        <v>604</v>
      </c>
      <c r="BE4" t="s">
        <v>1107</v>
      </c>
      <c r="BF4" t="s">
        <v>1107</v>
      </c>
      <c r="BG4" t="s">
        <v>1107</v>
      </c>
      <c r="BH4" t="s">
        <v>1107</v>
      </c>
      <c r="BI4" t="s">
        <v>1107</v>
      </c>
      <c r="BJ4" t="s">
        <v>1107</v>
      </c>
      <c r="BK4" t="s">
        <v>1107</v>
      </c>
      <c r="BL4" t="s">
        <v>604</v>
      </c>
      <c r="BM4" t="s">
        <v>604</v>
      </c>
      <c r="BN4" t="s">
        <v>604</v>
      </c>
      <c r="BO4" t="s">
        <v>604</v>
      </c>
      <c r="BP4" t="s">
        <v>604</v>
      </c>
      <c r="BQ4" t="s">
        <v>604</v>
      </c>
      <c r="BR4" t="s">
        <v>604</v>
      </c>
      <c r="BS4" t="s">
        <v>604</v>
      </c>
      <c r="BT4" t="s">
        <v>604</v>
      </c>
      <c r="BU4" t="s">
        <v>604</v>
      </c>
      <c r="BV4" t="s">
        <v>604</v>
      </c>
      <c r="BW4" t="s">
        <v>604</v>
      </c>
      <c r="BX4" t="s">
        <v>604</v>
      </c>
      <c r="BY4" t="s">
        <v>604</v>
      </c>
      <c r="BZ4" t="s">
        <v>604</v>
      </c>
      <c r="CA4" t="s">
        <v>604</v>
      </c>
      <c r="CB4" t="s">
        <v>604</v>
      </c>
      <c r="CC4" t="s">
        <v>604</v>
      </c>
      <c r="CD4" t="s">
        <v>604</v>
      </c>
      <c r="CE4" t="s">
        <v>604</v>
      </c>
      <c r="CF4" t="s">
        <v>642</v>
      </c>
      <c r="CG4" t="s">
        <v>642</v>
      </c>
      <c r="CH4" t="s">
        <v>604</v>
      </c>
      <c r="CI4" t="s">
        <v>604</v>
      </c>
      <c r="CJ4" t="s">
        <v>604</v>
      </c>
      <c r="CK4" t="s">
        <v>651</v>
      </c>
      <c r="CL4" t="s">
        <v>596</v>
      </c>
    </row>
    <row r="5" spans="1:90" ht="14.5">
      <c r="A5" t="s">
        <v>86</v>
      </c>
      <c r="B5" t="s">
        <v>87</v>
      </c>
      <c r="C5" t="s">
        <v>88</v>
      </c>
      <c r="D5" t="s">
        <v>586</v>
      </c>
      <c r="E5" t="s">
        <v>586</v>
      </c>
      <c r="F5" t="s">
        <v>586</v>
      </c>
      <c r="G5" t="s">
        <v>586</v>
      </c>
      <c r="H5" t="s">
        <v>586</v>
      </c>
      <c r="I5" t="s">
        <v>586</v>
      </c>
      <c r="J5" t="s">
        <v>586</v>
      </c>
      <c r="K5" t="s">
        <v>586</v>
      </c>
      <c r="L5" t="s">
        <v>588</v>
      </c>
      <c r="M5" t="s">
        <v>587</v>
      </c>
      <c r="N5" t="s">
        <v>587</v>
      </c>
      <c r="O5" t="s">
        <v>587</v>
      </c>
      <c r="P5" t="s">
        <v>587</v>
      </c>
      <c r="Q5" t="s">
        <v>588</v>
      </c>
      <c r="R5" t="s">
        <v>589</v>
      </c>
      <c r="S5" t="s">
        <v>586</v>
      </c>
      <c r="T5" t="s">
        <v>588</v>
      </c>
      <c r="U5" t="s">
        <v>586</v>
      </c>
      <c r="V5" t="s">
        <v>588</v>
      </c>
      <c r="W5" t="s">
        <v>586</v>
      </c>
      <c r="X5" t="s">
        <v>588</v>
      </c>
      <c r="Y5" t="s">
        <v>588</v>
      </c>
      <c r="Z5" t="s">
        <v>588</v>
      </c>
      <c r="AA5" t="s">
        <v>589</v>
      </c>
      <c r="AB5" t="s">
        <v>589</v>
      </c>
      <c r="AC5" t="s">
        <v>589</v>
      </c>
      <c r="AD5" t="s">
        <v>589</v>
      </c>
      <c r="AE5" t="s">
        <v>589</v>
      </c>
      <c r="AF5" t="s">
        <v>589</v>
      </c>
      <c r="AG5" t="s">
        <v>589</v>
      </c>
      <c r="AH5" t="s">
        <v>589</v>
      </c>
      <c r="AI5" t="s">
        <v>589</v>
      </c>
      <c r="AJ5" t="s">
        <v>589</v>
      </c>
      <c r="AK5" t="s">
        <v>589</v>
      </c>
      <c r="AL5" t="s">
        <v>589</v>
      </c>
      <c r="AM5" t="s">
        <v>589</v>
      </c>
      <c r="AN5" t="s">
        <v>588</v>
      </c>
      <c r="AO5" t="s">
        <v>1108</v>
      </c>
      <c r="AP5" t="s">
        <v>1108</v>
      </c>
      <c r="AQ5" t="s">
        <v>1108</v>
      </c>
      <c r="AR5" t="s">
        <v>1108</v>
      </c>
      <c r="AS5" t="s">
        <v>1108</v>
      </c>
      <c r="AT5" t="s">
        <v>1108</v>
      </c>
      <c r="AU5" t="s">
        <v>1108</v>
      </c>
      <c r="AV5" t="s">
        <v>1108</v>
      </c>
      <c r="AW5" t="s">
        <v>1108</v>
      </c>
      <c r="AX5" t="s">
        <v>1108</v>
      </c>
      <c r="AY5" t="s">
        <v>1108</v>
      </c>
      <c r="AZ5" t="s">
        <v>1108</v>
      </c>
      <c r="BA5" t="s">
        <v>1108</v>
      </c>
      <c r="BB5" t="s">
        <v>1108</v>
      </c>
      <c r="BC5" t="s">
        <v>660</v>
      </c>
      <c r="BD5" t="s">
        <v>660</v>
      </c>
      <c r="BE5" t="s">
        <v>660</v>
      </c>
      <c r="BF5" t="s">
        <v>660</v>
      </c>
      <c r="BG5" t="s">
        <v>1108</v>
      </c>
      <c r="BH5" t="s">
        <v>1108</v>
      </c>
      <c r="BI5" t="s">
        <v>1108</v>
      </c>
      <c r="BJ5" t="s">
        <v>1108</v>
      </c>
      <c r="BK5" t="s">
        <v>1108</v>
      </c>
      <c r="BL5" t="s">
        <v>586</v>
      </c>
      <c r="BM5" t="s">
        <v>589</v>
      </c>
      <c r="BN5" t="s">
        <v>589</v>
      </c>
      <c r="BO5" t="s">
        <v>589</v>
      </c>
      <c r="BP5" t="s">
        <v>589</v>
      </c>
      <c r="BQ5" t="s">
        <v>588</v>
      </c>
      <c r="BR5" t="s">
        <v>588</v>
      </c>
      <c r="BS5" t="s">
        <v>588</v>
      </c>
      <c r="BT5" t="s">
        <v>588</v>
      </c>
      <c r="BU5" t="s">
        <v>619</v>
      </c>
      <c r="BV5" t="s">
        <v>588</v>
      </c>
      <c r="BW5" t="s">
        <v>589</v>
      </c>
      <c r="BX5" t="s">
        <v>589</v>
      </c>
      <c r="BY5" t="s">
        <v>589</v>
      </c>
      <c r="BZ5" t="s">
        <v>589</v>
      </c>
      <c r="CA5" t="s">
        <v>606</v>
      </c>
      <c r="CB5" t="s">
        <v>606</v>
      </c>
      <c r="CC5" t="s">
        <v>606</v>
      </c>
      <c r="CD5" t="s">
        <v>588</v>
      </c>
      <c r="CE5" t="s">
        <v>588</v>
      </c>
      <c r="CF5" t="s">
        <v>606</v>
      </c>
      <c r="CG5" t="s">
        <v>606</v>
      </c>
      <c r="CH5" t="s">
        <v>588</v>
      </c>
      <c r="CI5" t="s">
        <v>588</v>
      </c>
      <c r="CJ5" t="s">
        <v>588</v>
      </c>
      <c r="CK5" t="s">
        <v>589</v>
      </c>
      <c r="CL5" t="s">
        <v>589</v>
      </c>
    </row>
    <row r="6" spans="1:90" ht="14.5">
      <c r="A6" t="s">
        <v>86</v>
      </c>
      <c r="B6" t="s">
        <v>87</v>
      </c>
      <c r="C6" t="s">
        <v>88</v>
      </c>
      <c r="D6" t="s">
        <v>590</v>
      </c>
      <c r="E6" t="s">
        <v>590</v>
      </c>
      <c r="F6" t="s">
        <v>590</v>
      </c>
      <c r="G6" t="s">
        <v>590</v>
      </c>
      <c r="H6" t="s">
        <v>590</v>
      </c>
      <c r="I6" t="s">
        <v>590</v>
      </c>
      <c r="J6" t="s">
        <v>590</v>
      </c>
      <c r="K6" t="s">
        <v>590</v>
      </c>
      <c r="L6" t="s">
        <v>590</v>
      </c>
      <c r="M6" t="s">
        <v>590</v>
      </c>
      <c r="N6" t="s">
        <v>590</v>
      </c>
      <c r="O6" t="s">
        <v>590</v>
      </c>
      <c r="P6" t="s">
        <v>590</v>
      </c>
      <c r="Q6" t="s">
        <v>590</v>
      </c>
      <c r="R6" t="s">
        <v>590</v>
      </c>
      <c r="S6" t="s">
        <v>590</v>
      </c>
      <c r="T6" t="s">
        <v>590</v>
      </c>
      <c r="U6" t="s">
        <v>590</v>
      </c>
      <c r="V6" t="s">
        <v>590</v>
      </c>
      <c r="W6" t="s">
        <v>590</v>
      </c>
      <c r="X6" t="s">
        <v>590</v>
      </c>
      <c r="Y6" t="s">
        <v>590</v>
      </c>
      <c r="Z6" t="s">
        <v>590</v>
      </c>
      <c r="AA6" t="s">
        <v>590</v>
      </c>
      <c r="AB6" t="s">
        <v>590</v>
      </c>
      <c r="AC6" t="s">
        <v>590</v>
      </c>
      <c r="AD6" t="s">
        <v>590</v>
      </c>
      <c r="AE6" t="s">
        <v>590</v>
      </c>
      <c r="AF6" t="s">
        <v>590</v>
      </c>
      <c r="AG6" t="s">
        <v>590</v>
      </c>
      <c r="AH6" t="s">
        <v>590</v>
      </c>
      <c r="AI6" t="s">
        <v>590</v>
      </c>
      <c r="AJ6" t="s">
        <v>590</v>
      </c>
      <c r="AK6" t="s">
        <v>590</v>
      </c>
      <c r="AL6" t="s">
        <v>590</v>
      </c>
      <c r="AM6" t="s">
        <v>590</v>
      </c>
      <c r="AN6" t="s">
        <v>590</v>
      </c>
      <c r="AO6" t="s">
        <v>590</v>
      </c>
      <c r="AP6" t="s">
        <v>590</v>
      </c>
      <c r="AQ6" t="s">
        <v>590</v>
      </c>
      <c r="AR6" t="s">
        <v>590</v>
      </c>
      <c r="AS6" t="s">
        <v>590</v>
      </c>
      <c r="AT6" t="s">
        <v>590</v>
      </c>
      <c r="AU6" t="s">
        <v>590</v>
      </c>
      <c r="AV6" t="s">
        <v>590</v>
      </c>
      <c r="AW6" t="s">
        <v>590</v>
      </c>
      <c r="AX6" t="s">
        <v>590</v>
      </c>
      <c r="AY6" t="s">
        <v>590</v>
      </c>
      <c r="AZ6" t="s">
        <v>590</v>
      </c>
      <c r="BA6" t="s">
        <v>590</v>
      </c>
      <c r="BB6" t="s">
        <v>590</v>
      </c>
      <c r="BC6" t="s">
        <v>590</v>
      </c>
      <c r="BD6" t="s">
        <v>590</v>
      </c>
      <c r="BE6" t="s">
        <v>590</v>
      </c>
      <c r="BF6" t="s">
        <v>590</v>
      </c>
      <c r="BG6" t="s">
        <v>590</v>
      </c>
      <c r="BH6" t="s">
        <v>590</v>
      </c>
      <c r="BI6" t="s">
        <v>590</v>
      </c>
      <c r="BJ6" t="s">
        <v>590</v>
      </c>
      <c r="BK6" t="s">
        <v>590</v>
      </c>
      <c r="BL6" t="s">
        <v>590</v>
      </c>
      <c r="BM6" t="s">
        <v>590</v>
      </c>
      <c r="BN6" t="s">
        <v>590</v>
      </c>
      <c r="BO6" t="s">
        <v>590</v>
      </c>
      <c r="BP6" t="s">
        <v>590</v>
      </c>
      <c r="BQ6" t="s">
        <v>590</v>
      </c>
      <c r="BR6" t="s">
        <v>590</v>
      </c>
      <c r="BS6" t="s">
        <v>590</v>
      </c>
      <c r="BT6" t="s">
        <v>590</v>
      </c>
      <c r="BU6" t="s">
        <v>590</v>
      </c>
      <c r="BV6" t="s">
        <v>590</v>
      </c>
      <c r="BW6" t="s">
        <v>590</v>
      </c>
      <c r="BX6" t="s">
        <v>590</v>
      </c>
      <c r="BY6" t="s">
        <v>590</v>
      </c>
      <c r="BZ6" t="s">
        <v>590</v>
      </c>
      <c r="CA6" t="s">
        <v>590</v>
      </c>
      <c r="CB6" t="s">
        <v>590</v>
      </c>
      <c r="CC6" t="s">
        <v>590</v>
      </c>
      <c r="CD6" t="s">
        <v>590</v>
      </c>
      <c r="CE6" t="s">
        <v>590</v>
      </c>
      <c r="CF6" t="s">
        <v>590</v>
      </c>
      <c r="CG6" t="s">
        <v>590</v>
      </c>
      <c r="CH6" t="s">
        <v>590</v>
      </c>
      <c r="CI6" t="s">
        <v>590</v>
      </c>
      <c r="CJ6" t="s">
        <v>590</v>
      </c>
      <c r="CK6" t="s">
        <v>590</v>
      </c>
      <c r="CL6" t="s">
        <v>590</v>
      </c>
    </row>
    <row r="7" spans="1:90" ht="14.5">
      <c r="A7" t="s">
        <v>89</v>
      </c>
      <c r="B7" t="s">
        <v>90</v>
      </c>
      <c r="C7" t="s">
        <v>91</v>
      </c>
      <c r="D7" s="224">
        <v>145568</v>
      </c>
      <c r="E7" s="224">
        <v>172933</v>
      </c>
      <c r="F7" s="224">
        <v>126242</v>
      </c>
      <c r="G7" s="224">
        <v>152413</v>
      </c>
      <c r="H7" s="224">
        <v>19326</v>
      </c>
      <c r="I7" s="224">
        <v>20520</v>
      </c>
      <c r="J7" s="224">
        <v>2993</v>
      </c>
      <c r="K7" s="224">
        <v>2515</v>
      </c>
      <c r="L7">
        <v>6.5</v>
      </c>
      <c r="M7">
        <v>78.3</v>
      </c>
      <c r="N7">
        <v>81.7</v>
      </c>
      <c r="O7">
        <v>59.6</v>
      </c>
      <c r="P7">
        <v>59</v>
      </c>
      <c r="Q7">
        <v>570</v>
      </c>
      <c r="R7">
        <v>505</v>
      </c>
      <c r="S7" s="224">
        <v>28993</v>
      </c>
      <c r="T7">
        <v>13.2</v>
      </c>
      <c r="U7" s="224">
        <v>10667</v>
      </c>
      <c r="V7">
        <v>4.9000000000000004</v>
      </c>
      <c r="W7" s="224">
        <v>14224</v>
      </c>
      <c r="X7">
        <v>2.7</v>
      </c>
      <c r="Y7">
        <v>2</v>
      </c>
      <c r="Z7">
        <v>2.2999999999999998</v>
      </c>
      <c r="AA7">
        <v>657</v>
      </c>
      <c r="AB7">
        <v>657</v>
      </c>
      <c r="AC7" s="224">
        <v>3135</v>
      </c>
      <c r="AD7">
        <v>460</v>
      </c>
      <c r="AE7">
        <v>840</v>
      </c>
      <c r="AF7" t="s">
        <v>597</v>
      </c>
      <c r="AG7" t="s">
        <v>597</v>
      </c>
      <c r="AH7">
        <v>180</v>
      </c>
      <c r="AI7" s="224">
        <v>1040</v>
      </c>
      <c r="AJ7" t="s">
        <v>597</v>
      </c>
      <c r="AK7" t="s">
        <v>597</v>
      </c>
      <c r="AL7" s="224">
        <v>1405</v>
      </c>
      <c r="AM7" s="224">
        <v>1730</v>
      </c>
      <c r="AN7">
        <v>68</v>
      </c>
      <c r="AO7" s="224">
        <v>92219</v>
      </c>
      <c r="AP7" s="224">
        <v>109302</v>
      </c>
      <c r="AQ7" s="224">
        <v>96681</v>
      </c>
      <c r="AR7" s="224">
        <v>251038</v>
      </c>
      <c r="AS7" s="224">
        <v>48097</v>
      </c>
      <c r="AT7" s="224">
        <v>35887</v>
      </c>
      <c r="AU7" s="224">
        <v>79505</v>
      </c>
      <c r="AV7">
        <v>708</v>
      </c>
      <c r="AW7" s="224">
        <v>26226</v>
      </c>
      <c r="AX7" s="224">
        <v>1705</v>
      </c>
      <c r="AY7" s="224">
        <v>17121</v>
      </c>
      <c r="AZ7">
        <v>940</v>
      </c>
      <c r="BA7" s="224">
        <v>74049</v>
      </c>
      <c r="BB7" s="224">
        <v>80445</v>
      </c>
      <c r="BC7" s="225">
        <v>31575.09</v>
      </c>
      <c r="BD7" s="225">
        <v>20856.650000000001</v>
      </c>
      <c r="BE7">
        <v>320.22000000000003</v>
      </c>
      <c r="BF7" s="225">
        <v>1831.97</v>
      </c>
      <c r="BG7" s="224">
        <v>16047</v>
      </c>
      <c r="BH7">
        <v>0</v>
      </c>
      <c r="BI7" s="224">
        <v>10144</v>
      </c>
      <c r="BJ7" s="224">
        <v>10742</v>
      </c>
      <c r="BK7" s="224">
        <v>4433</v>
      </c>
      <c r="BL7" s="224">
        <v>5500</v>
      </c>
      <c r="BM7" s="224">
        <v>5800</v>
      </c>
      <c r="BN7">
        <v>900</v>
      </c>
      <c r="BO7" s="224">
        <v>5400</v>
      </c>
      <c r="BP7">
        <v>400</v>
      </c>
      <c r="BQ7">
        <v>66</v>
      </c>
      <c r="BR7">
        <v>4</v>
      </c>
      <c r="BS7">
        <v>62</v>
      </c>
      <c r="BT7">
        <v>26</v>
      </c>
      <c r="BU7">
        <v>41</v>
      </c>
      <c r="BV7">
        <v>14</v>
      </c>
      <c r="BW7" s="224">
        <v>4600</v>
      </c>
      <c r="BX7">
        <v>550</v>
      </c>
      <c r="BY7">
        <v>200</v>
      </c>
      <c r="BZ7">
        <v>425</v>
      </c>
      <c r="CA7">
        <v>18.8</v>
      </c>
      <c r="CB7">
        <v>18.8</v>
      </c>
      <c r="CC7">
        <v>18.8</v>
      </c>
      <c r="CD7">
        <v>73.900000000000006</v>
      </c>
      <c r="CE7">
        <v>70.2</v>
      </c>
      <c r="CF7">
        <v>7</v>
      </c>
      <c r="CG7">
        <v>7</v>
      </c>
      <c r="CH7">
        <v>67.400000000000006</v>
      </c>
      <c r="CI7">
        <v>66.3</v>
      </c>
      <c r="CJ7">
        <v>95</v>
      </c>
      <c r="CK7">
        <v>970</v>
      </c>
      <c r="CL7">
        <v>890</v>
      </c>
    </row>
    <row r="8" spans="1:90" ht="14.5">
      <c r="A8" t="s">
        <v>92</v>
      </c>
      <c r="B8" t="s">
        <v>93</v>
      </c>
      <c r="C8" t="s">
        <v>94</v>
      </c>
      <c r="D8" s="224">
        <v>290672</v>
      </c>
      <c r="E8" s="224">
        <v>316967</v>
      </c>
      <c r="F8" s="224">
        <v>238769</v>
      </c>
      <c r="G8" s="224">
        <v>254412</v>
      </c>
      <c r="H8" s="224">
        <v>51903</v>
      </c>
      <c r="I8" s="224">
        <v>62555</v>
      </c>
      <c r="J8" s="224">
        <v>8045</v>
      </c>
      <c r="K8" s="224">
        <v>9579</v>
      </c>
      <c r="L8">
        <v>7.4</v>
      </c>
      <c r="M8">
        <v>82.5</v>
      </c>
      <c r="N8">
        <v>85.9</v>
      </c>
      <c r="O8">
        <v>62.7</v>
      </c>
      <c r="P8">
        <v>61.7</v>
      </c>
      <c r="Q8" s="225">
        <v>1065</v>
      </c>
      <c r="R8">
        <v>935</v>
      </c>
      <c r="S8" s="224">
        <v>49679</v>
      </c>
      <c r="T8">
        <v>12.8</v>
      </c>
      <c r="U8" s="224">
        <v>15649</v>
      </c>
      <c r="V8">
        <v>4</v>
      </c>
      <c r="W8" s="224">
        <v>28808</v>
      </c>
      <c r="X8">
        <v>4.2</v>
      </c>
      <c r="Y8">
        <v>1.6</v>
      </c>
      <c r="Z8">
        <v>2</v>
      </c>
      <c r="AA8" s="224">
        <v>3015</v>
      </c>
      <c r="AB8" s="224">
        <v>3007</v>
      </c>
      <c r="AC8" s="224">
        <v>5905</v>
      </c>
      <c r="AD8">
        <v>715</v>
      </c>
      <c r="AE8" s="224">
        <v>1305</v>
      </c>
      <c r="AF8" t="s">
        <v>597</v>
      </c>
      <c r="AG8" t="s">
        <v>597</v>
      </c>
      <c r="AH8">
        <v>360</v>
      </c>
      <c r="AI8" s="224">
        <v>2300</v>
      </c>
      <c r="AJ8" t="s">
        <v>597</v>
      </c>
      <c r="AK8" t="s">
        <v>597</v>
      </c>
      <c r="AL8" s="224">
        <v>2270</v>
      </c>
      <c r="AM8" s="224">
        <v>3635</v>
      </c>
      <c r="AN8">
        <v>62.2</v>
      </c>
      <c r="AO8" s="224">
        <v>196059</v>
      </c>
      <c r="AP8" s="224">
        <v>205825</v>
      </c>
      <c r="AQ8" s="224">
        <v>183218</v>
      </c>
      <c r="AR8" s="224">
        <v>328572</v>
      </c>
      <c r="AS8" s="224">
        <v>90945</v>
      </c>
      <c r="AT8" s="224">
        <v>77977</v>
      </c>
      <c r="AU8" s="224">
        <v>162581</v>
      </c>
      <c r="AV8">
        <v>91</v>
      </c>
      <c r="AW8" s="224">
        <v>54521</v>
      </c>
      <c r="AX8" s="224">
        <v>1171</v>
      </c>
      <c r="AY8" s="224">
        <v>41343</v>
      </c>
      <c r="AZ8" s="224">
        <v>1819</v>
      </c>
      <c r="BA8" s="224">
        <v>157601</v>
      </c>
      <c r="BB8" s="224">
        <v>164400</v>
      </c>
      <c r="BC8" s="225">
        <v>38224.230000000003</v>
      </c>
      <c r="BD8" s="225">
        <v>21356.53</v>
      </c>
      <c r="BE8">
        <v>357.83</v>
      </c>
      <c r="BF8" s="225">
        <v>1265.25</v>
      </c>
      <c r="BG8" s="224">
        <v>26074</v>
      </c>
      <c r="BH8">
        <v>0</v>
      </c>
      <c r="BI8" s="224">
        <v>11751</v>
      </c>
      <c r="BJ8" s="224">
        <v>13908</v>
      </c>
      <c r="BK8" s="224">
        <v>3454</v>
      </c>
      <c r="BL8" s="224">
        <v>7600</v>
      </c>
      <c r="BM8" s="224">
        <v>9600</v>
      </c>
      <c r="BN8">
        <v>550</v>
      </c>
      <c r="BO8" s="224">
        <v>9200</v>
      </c>
      <c r="BP8">
        <v>425</v>
      </c>
      <c r="BQ8">
        <v>77</v>
      </c>
      <c r="BR8">
        <v>14</v>
      </c>
      <c r="BS8">
        <v>45</v>
      </c>
      <c r="BT8">
        <v>26</v>
      </c>
      <c r="BU8">
        <v>46</v>
      </c>
      <c r="BV8">
        <v>26</v>
      </c>
      <c r="BW8" s="224">
        <v>7300</v>
      </c>
      <c r="BX8">
        <v>800</v>
      </c>
      <c r="BY8">
        <v>350</v>
      </c>
      <c r="BZ8" s="224">
        <v>1200</v>
      </c>
      <c r="CA8">
        <v>18</v>
      </c>
      <c r="CB8">
        <v>18.5</v>
      </c>
      <c r="CC8">
        <v>17.7</v>
      </c>
      <c r="CD8">
        <v>65.3</v>
      </c>
      <c r="CE8">
        <v>60.8</v>
      </c>
      <c r="CF8">
        <v>7.3</v>
      </c>
      <c r="CG8">
        <v>7.3</v>
      </c>
      <c r="CH8">
        <v>66.3</v>
      </c>
      <c r="CI8">
        <v>67.099999999999994</v>
      </c>
      <c r="CJ8">
        <v>81.599999999999994</v>
      </c>
      <c r="CK8" s="224">
        <v>2110</v>
      </c>
      <c r="CL8" s="224">
        <v>2430</v>
      </c>
    </row>
    <row r="9" spans="1:90" ht="14.5">
      <c r="A9" t="s">
        <v>95</v>
      </c>
      <c r="B9" t="s">
        <v>96</v>
      </c>
      <c r="C9" t="s">
        <v>97</v>
      </c>
      <c r="D9" s="224">
        <v>189103</v>
      </c>
      <c r="E9" s="224">
        <v>201434</v>
      </c>
      <c r="F9" s="224">
        <v>144733</v>
      </c>
      <c r="G9" s="224">
        <v>149973</v>
      </c>
      <c r="H9" s="224">
        <v>44370</v>
      </c>
      <c r="I9" s="224">
        <v>51461</v>
      </c>
      <c r="J9" s="224">
        <v>5177</v>
      </c>
      <c r="K9" s="224">
        <v>5986</v>
      </c>
      <c r="L9">
        <v>10.1</v>
      </c>
      <c r="M9">
        <v>77.2</v>
      </c>
      <c r="N9">
        <v>81.099999999999994</v>
      </c>
      <c r="O9">
        <v>55.2</v>
      </c>
      <c r="P9">
        <v>55.3</v>
      </c>
      <c r="Q9">
        <v>680</v>
      </c>
      <c r="R9">
        <v>585</v>
      </c>
      <c r="S9" s="224">
        <v>53916</v>
      </c>
      <c r="T9">
        <v>22</v>
      </c>
      <c r="U9" s="224">
        <v>18369</v>
      </c>
      <c r="V9">
        <v>7.5</v>
      </c>
      <c r="W9" s="224">
        <v>24732</v>
      </c>
      <c r="X9">
        <v>4.5</v>
      </c>
      <c r="Y9">
        <v>2.5</v>
      </c>
      <c r="Z9">
        <v>3.7</v>
      </c>
      <c r="AA9" s="224">
        <v>2243</v>
      </c>
      <c r="AB9" s="224">
        <v>2262</v>
      </c>
      <c r="AC9" s="224">
        <v>3915</v>
      </c>
      <c r="AD9">
        <v>490</v>
      </c>
      <c r="AE9" t="s">
        <v>597</v>
      </c>
      <c r="AF9">
        <v>15</v>
      </c>
      <c r="AG9">
        <v>485</v>
      </c>
      <c r="AH9">
        <v>170</v>
      </c>
      <c r="AI9" t="s">
        <v>597</v>
      </c>
      <c r="AJ9" t="s">
        <v>597</v>
      </c>
      <c r="AK9" s="224">
        <v>1275</v>
      </c>
      <c r="AL9" s="224">
        <v>1170</v>
      </c>
      <c r="AM9" s="224">
        <v>2745</v>
      </c>
      <c r="AN9">
        <v>67.900000000000006</v>
      </c>
      <c r="AO9" s="224">
        <v>110903</v>
      </c>
      <c r="AP9" s="224">
        <v>124626</v>
      </c>
      <c r="AQ9" s="224">
        <v>98799</v>
      </c>
      <c r="AR9" s="224">
        <v>242738</v>
      </c>
      <c r="AS9" s="224">
        <v>43603</v>
      </c>
      <c r="AT9" s="224">
        <v>57119</v>
      </c>
      <c r="AU9" s="224">
        <v>89124</v>
      </c>
      <c r="AV9" s="224">
        <v>1253</v>
      </c>
      <c r="AW9" s="224">
        <v>27369</v>
      </c>
      <c r="AX9" s="224">
        <v>2863</v>
      </c>
      <c r="AY9" s="224">
        <v>30517</v>
      </c>
      <c r="AZ9" s="224">
        <v>4213</v>
      </c>
      <c r="BA9" s="224">
        <v>78189</v>
      </c>
      <c r="BB9" s="224">
        <v>93337</v>
      </c>
      <c r="BC9" s="225">
        <v>33850.43</v>
      </c>
      <c r="BD9" s="225">
        <v>19574.5</v>
      </c>
      <c r="BE9">
        <v>299.08999999999997</v>
      </c>
      <c r="BF9" s="225">
        <v>1165.58</v>
      </c>
      <c r="BG9" s="224">
        <v>25827</v>
      </c>
      <c r="BH9">
        <v>0</v>
      </c>
      <c r="BI9" s="224">
        <v>14436</v>
      </c>
      <c r="BJ9" s="224">
        <v>14436</v>
      </c>
      <c r="BK9">
        <v>957</v>
      </c>
      <c r="BL9" s="224">
        <v>5600</v>
      </c>
      <c r="BM9" s="224">
        <v>6000</v>
      </c>
      <c r="BN9">
        <v>275</v>
      </c>
      <c r="BO9" s="224">
        <v>5600</v>
      </c>
      <c r="BP9">
        <v>350</v>
      </c>
      <c r="BQ9">
        <v>83</v>
      </c>
      <c r="BR9">
        <v>1</v>
      </c>
      <c r="BS9">
        <v>9</v>
      </c>
      <c r="BT9">
        <v>43</v>
      </c>
      <c r="BU9">
        <v>43</v>
      </c>
      <c r="BV9">
        <v>91</v>
      </c>
      <c r="BW9" s="224">
        <v>4500</v>
      </c>
      <c r="BX9">
        <v>500</v>
      </c>
      <c r="BY9">
        <v>175</v>
      </c>
      <c r="BZ9">
        <v>850</v>
      </c>
      <c r="CA9">
        <v>19.7</v>
      </c>
      <c r="CB9">
        <v>20.6</v>
      </c>
      <c r="CC9">
        <v>19.2</v>
      </c>
      <c r="CD9">
        <v>81</v>
      </c>
      <c r="CE9">
        <v>77.400000000000006</v>
      </c>
      <c r="CF9">
        <v>7.4</v>
      </c>
      <c r="CG9">
        <v>7.5</v>
      </c>
      <c r="CH9">
        <v>71.8</v>
      </c>
      <c r="CI9">
        <v>70.2</v>
      </c>
      <c r="CJ9">
        <v>78.3</v>
      </c>
      <c r="CK9" s="224">
        <v>2430</v>
      </c>
      <c r="CL9" s="224">
        <v>2140</v>
      </c>
    </row>
    <row r="10" spans="1:90" ht="14.5">
      <c r="A10" t="s">
        <v>98</v>
      </c>
      <c r="B10" t="s">
        <v>99</v>
      </c>
      <c r="C10" t="s">
        <v>100</v>
      </c>
      <c r="D10" s="224">
        <v>148069</v>
      </c>
      <c r="E10" s="224">
        <v>165209</v>
      </c>
      <c r="F10" s="224">
        <v>113062</v>
      </c>
      <c r="G10" s="224">
        <v>125292</v>
      </c>
      <c r="H10" s="224">
        <v>35007</v>
      </c>
      <c r="I10" s="224">
        <v>39917</v>
      </c>
      <c r="J10" s="224">
        <v>5250</v>
      </c>
      <c r="K10" s="224">
        <v>5955</v>
      </c>
      <c r="L10">
        <v>7.8</v>
      </c>
      <c r="M10">
        <v>81.400000000000006</v>
      </c>
      <c r="N10">
        <v>84.9</v>
      </c>
      <c r="O10">
        <v>65.3</v>
      </c>
      <c r="P10">
        <v>65.599999999999994</v>
      </c>
      <c r="Q10">
        <v>520</v>
      </c>
      <c r="R10">
        <v>465</v>
      </c>
      <c r="S10" s="224">
        <v>31778</v>
      </c>
      <c r="T10">
        <v>16.399999999999999</v>
      </c>
      <c r="U10" s="224">
        <v>7856</v>
      </c>
      <c r="V10">
        <v>4.0999999999999996</v>
      </c>
      <c r="W10" s="224">
        <v>14970</v>
      </c>
      <c r="X10">
        <v>4.5999999999999996</v>
      </c>
      <c r="Y10">
        <v>1.4</v>
      </c>
      <c r="Z10">
        <v>2.1</v>
      </c>
      <c r="AA10" s="224">
        <v>1714</v>
      </c>
      <c r="AB10" s="224">
        <v>1900</v>
      </c>
      <c r="AC10" s="224">
        <v>2370</v>
      </c>
      <c r="AD10">
        <v>200</v>
      </c>
      <c r="AE10">
        <v>410</v>
      </c>
      <c r="AF10">
        <v>145</v>
      </c>
      <c r="AG10" t="s">
        <v>597</v>
      </c>
      <c r="AH10">
        <v>60</v>
      </c>
      <c r="AI10">
        <v>510</v>
      </c>
      <c r="AJ10">
        <v>130</v>
      </c>
      <c r="AK10" t="s">
        <v>597</v>
      </c>
      <c r="AL10">
        <v>915</v>
      </c>
      <c r="AM10" s="224">
        <v>1455</v>
      </c>
      <c r="AN10">
        <v>64</v>
      </c>
      <c r="AO10" s="224">
        <v>91678</v>
      </c>
      <c r="AP10" s="224">
        <v>98853</v>
      </c>
      <c r="AQ10" s="224">
        <v>83415</v>
      </c>
      <c r="AR10" s="224">
        <v>181252</v>
      </c>
      <c r="AS10" s="224">
        <v>30622</v>
      </c>
      <c r="AT10" s="224">
        <v>45387</v>
      </c>
      <c r="AU10" s="224">
        <v>68264</v>
      </c>
      <c r="AV10">
        <v>0</v>
      </c>
      <c r="AW10" s="224">
        <v>21598</v>
      </c>
      <c r="AX10">
        <v>0</v>
      </c>
      <c r="AY10" s="224">
        <v>23371</v>
      </c>
      <c r="AZ10" s="224">
        <v>1447</v>
      </c>
      <c r="BA10" s="224">
        <v>68609</v>
      </c>
      <c r="BB10" s="224">
        <v>69711</v>
      </c>
      <c r="BC10" s="225">
        <v>33104.92</v>
      </c>
      <c r="BD10" s="225">
        <v>27092.78</v>
      </c>
      <c r="BE10">
        <v>244.41</v>
      </c>
      <c r="BF10" s="225">
        <v>1137.03</v>
      </c>
      <c r="BG10" s="224">
        <v>15439</v>
      </c>
      <c r="BH10">
        <v>0</v>
      </c>
      <c r="BI10" s="224">
        <v>11898</v>
      </c>
      <c r="BJ10" s="224">
        <v>16964</v>
      </c>
      <c r="BK10">
        <v>183</v>
      </c>
      <c r="BL10" s="224">
        <v>3400</v>
      </c>
      <c r="BM10" s="224">
        <v>4000</v>
      </c>
      <c r="BN10">
        <v>250</v>
      </c>
      <c r="BO10" s="224">
        <v>3300</v>
      </c>
      <c r="BP10">
        <v>650</v>
      </c>
      <c r="BQ10">
        <v>79</v>
      </c>
      <c r="BR10">
        <v>7</v>
      </c>
      <c r="BS10">
        <v>20</v>
      </c>
      <c r="BT10">
        <v>51</v>
      </c>
      <c r="BU10">
        <v>45</v>
      </c>
      <c r="BV10">
        <v>76</v>
      </c>
      <c r="BW10" s="224">
        <v>2600</v>
      </c>
      <c r="BX10">
        <v>325</v>
      </c>
      <c r="BY10">
        <v>275</v>
      </c>
      <c r="BZ10">
        <v>750</v>
      </c>
      <c r="CA10">
        <v>19.2</v>
      </c>
      <c r="CB10">
        <v>19.600000000000001</v>
      </c>
      <c r="CC10">
        <v>18.899999999999999</v>
      </c>
      <c r="CD10">
        <v>87.1</v>
      </c>
      <c r="CE10">
        <v>81.599999999999994</v>
      </c>
      <c r="CF10">
        <v>8.1</v>
      </c>
      <c r="CG10">
        <v>8</v>
      </c>
      <c r="CH10">
        <v>68</v>
      </c>
      <c r="CI10">
        <v>71.5</v>
      </c>
      <c r="CJ10">
        <v>79.599999999999994</v>
      </c>
      <c r="CK10" s="224">
        <v>1730</v>
      </c>
      <c r="CL10" s="224">
        <v>1765</v>
      </c>
    </row>
    <row r="11" spans="1:90" ht="14.5">
      <c r="A11" t="s">
        <v>101</v>
      </c>
      <c r="B11" t="s">
        <v>102</v>
      </c>
      <c r="C11" t="s">
        <v>103</v>
      </c>
      <c r="D11" s="224">
        <v>131911</v>
      </c>
      <c r="E11" s="224">
        <v>152618</v>
      </c>
      <c r="F11" s="224">
        <v>103497</v>
      </c>
      <c r="G11" s="224">
        <v>118384</v>
      </c>
      <c r="H11" s="224">
        <v>28414</v>
      </c>
      <c r="I11" s="224">
        <v>34234</v>
      </c>
      <c r="J11" s="224">
        <v>4015</v>
      </c>
      <c r="K11" s="224">
        <v>4903</v>
      </c>
      <c r="L11">
        <v>7.7</v>
      </c>
      <c r="M11">
        <v>79.599999999999994</v>
      </c>
      <c r="N11">
        <v>83.9</v>
      </c>
      <c r="O11">
        <v>62.5</v>
      </c>
      <c r="P11">
        <v>62.7</v>
      </c>
      <c r="Q11">
        <v>460</v>
      </c>
      <c r="R11">
        <v>415</v>
      </c>
      <c r="S11" s="224">
        <v>28727</v>
      </c>
      <c r="T11">
        <v>15.5</v>
      </c>
      <c r="U11" s="224">
        <v>8092</v>
      </c>
      <c r="V11">
        <v>4.4000000000000004</v>
      </c>
      <c r="W11" s="224">
        <v>14332</v>
      </c>
      <c r="X11">
        <v>4.3</v>
      </c>
      <c r="Y11">
        <v>1.7</v>
      </c>
      <c r="Z11">
        <v>2.2000000000000002</v>
      </c>
      <c r="AA11" s="224">
        <v>1736</v>
      </c>
      <c r="AB11" s="224">
        <v>1703</v>
      </c>
      <c r="AC11" s="224">
        <v>2865</v>
      </c>
      <c r="AD11">
        <v>180</v>
      </c>
      <c r="AE11">
        <v>640</v>
      </c>
      <c r="AF11">
        <v>135</v>
      </c>
      <c r="AG11" t="s">
        <v>597</v>
      </c>
      <c r="AH11">
        <v>85</v>
      </c>
      <c r="AI11">
        <v>610</v>
      </c>
      <c r="AJ11">
        <v>360</v>
      </c>
      <c r="AK11" t="s">
        <v>597</v>
      </c>
      <c r="AL11" s="224">
        <v>1135</v>
      </c>
      <c r="AM11" s="224">
        <v>1730</v>
      </c>
      <c r="AN11">
        <v>68.5</v>
      </c>
      <c r="AO11" s="224">
        <v>101917</v>
      </c>
      <c r="AP11" s="224">
        <v>106409</v>
      </c>
      <c r="AQ11" s="224">
        <v>92757</v>
      </c>
      <c r="AR11" s="224">
        <v>187456</v>
      </c>
      <c r="AS11" s="224">
        <v>45642</v>
      </c>
      <c r="AT11" s="224">
        <v>42153</v>
      </c>
      <c r="AU11" s="224">
        <v>84042</v>
      </c>
      <c r="AV11">
        <v>26</v>
      </c>
      <c r="AW11" s="224">
        <v>21117</v>
      </c>
      <c r="AX11">
        <v>379</v>
      </c>
      <c r="AY11" s="224">
        <v>29645</v>
      </c>
      <c r="AZ11">
        <v>369</v>
      </c>
      <c r="BA11" s="224">
        <v>76777</v>
      </c>
      <c r="BB11" s="224">
        <v>84411</v>
      </c>
      <c r="BC11" s="225">
        <v>38449.339999999997</v>
      </c>
      <c r="BD11" s="225">
        <v>23567.05</v>
      </c>
      <c r="BE11">
        <v>385.76</v>
      </c>
      <c r="BF11" s="225">
        <v>1242.3900000000001</v>
      </c>
      <c r="BG11" s="224">
        <v>15106</v>
      </c>
      <c r="BH11">
        <v>0</v>
      </c>
      <c r="BI11" s="224">
        <v>13982</v>
      </c>
      <c r="BJ11" s="224">
        <v>14005</v>
      </c>
      <c r="BK11">
        <v>2</v>
      </c>
      <c r="BL11" s="224">
        <v>4700</v>
      </c>
      <c r="BM11" s="224">
        <v>5300</v>
      </c>
      <c r="BN11">
        <v>300</v>
      </c>
      <c r="BO11" s="224">
        <v>4600</v>
      </c>
      <c r="BP11">
        <v>750</v>
      </c>
      <c r="BQ11">
        <v>79</v>
      </c>
      <c r="BR11">
        <v>7</v>
      </c>
      <c r="BS11">
        <v>32</v>
      </c>
      <c r="BT11">
        <v>43</v>
      </c>
      <c r="BU11">
        <v>44</v>
      </c>
      <c r="BV11">
        <v>49</v>
      </c>
      <c r="BW11" s="224">
        <v>4100</v>
      </c>
      <c r="BX11">
        <v>450</v>
      </c>
      <c r="BY11">
        <v>175</v>
      </c>
      <c r="BZ11">
        <v>650</v>
      </c>
      <c r="CA11">
        <v>19.399999999999999</v>
      </c>
      <c r="CB11">
        <v>20.100000000000001</v>
      </c>
      <c r="CC11">
        <v>18.7</v>
      </c>
      <c r="CD11">
        <v>78.7</v>
      </c>
      <c r="CE11">
        <v>75.8</v>
      </c>
      <c r="CF11">
        <v>7.5</v>
      </c>
      <c r="CG11">
        <v>7.5</v>
      </c>
      <c r="CH11">
        <v>72.7</v>
      </c>
      <c r="CI11">
        <v>72</v>
      </c>
      <c r="CJ11">
        <v>69.400000000000006</v>
      </c>
      <c r="CK11">
        <v>805</v>
      </c>
      <c r="CL11">
        <v>680</v>
      </c>
    </row>
    <row r="12" spans="1:90" ht="14.5">
      <c r="A12" t="s">
        <v>104</v>
      </c>
      <c r="B12" t="s">
        <v>105</v>
      </c>
      <c r="C12" t="s">
        <v>106</v>
      </c>
      <c r="D12" s="224">
        <v>185426</v>
      </c>
      <c r="E12" s="224">
        <v>199643</v>
      </c>
      <c r="F12" s="224">
        <v>145540</v>
      </c>
      <c r="G12" s="224">
        <v>156263</v>
      </c>
      <c r="H12" s="224">
        <v>39886</v>
      </c>
      <c r="I12" s="224">
        <v>43380</v>
      </c>
      <c r="J12" s="224">
        <v>5767</v>
      </c>
      <c r="K12" s="224">
        <v>6582</v>
      </c>
      <c r="L12">
        <v>7.8</v>
      </c>
      <c r="M12">
        <v>80.3</v>
      </c>
      <c r="N12">
        <v>83.5</v>
      </c>
      <c r="O12">
        <v>61.9</v>
      </c>
      <c r="P12">
        <v>61.1</v>
      </c>
      <c r="Q12">
        <v>565</v>
      </c>
      <c r="R12">
        <v>490</v>
      </c>
      <c r="S12" s="224">
        <v>36083</v>
      </c>
      <c r="T12">
        <v>14.6</v>
      </c>
      <c r="U12" s="224">
        <v>10661</v>
      </c>
      <c r="V12">
        <v>4.3</v>
      </c>
      <c r="W12" s="224">
        <v>19284</v>
      </c>
      <c r="X12">
        <v>4.0999999999999996</v>
      </c>
      <c r="Y12">
        <v>1.7</v>
      </c>
      <c r="Z12">
        <v>2.5</v>
      </c>
      <c r="AA12" s="224">
        <v>1618</v>
      </c>
      <c r="AB12" s="224">
        <v>1618</v>
      </c>
      <c r="AC12" s="224">
        <v>3900</v>
      </c>
      <c r="AD12">
        <v>425</v>
      </c>
      <c r="AE12">
        <v>580</v>
      </c>
      <c r="AF12">
        <v>375</v>
      </c>
      <c r="AG12" t="s">
        <v>597</v>
      </c>
      <c r="AH12">
        <v>235</v>
      </c>
      <c r="AI12" s="224">
        <v>1335</v>
      </c>
      <c r="AJ12">
        <v>110</v>
      </c>
      <c r="AK12" t="s">
        <v>597</v>
      </c>
      <c r="AL12" s="224">
        <v>1525</v>
      </c>
      <c r="AM12" s="224">
        <v>2375</v>
      </c>
      <c r="AN12">
        <v>57.6</v>
      </c>
      <c r="AO12" s="224">
        <v>95264</v>
      </c>
      <c r="AP12" s="224">
        <v>102113</v>
      </c>
      <c r="AQ12" s="224">
        <v>90897</v>
      </c>
      <c r="AR12" s="224">
        <v>210277</v>
      </c>
      <c r="AS12" s="224">
        <v>45406</v>
      </c>
      <c r="AT12" s="224">
        <v>46030</v>
      </c>
      <c r="AU12" s="224">
        <v>81768</v>
      </c>
      <c r="AV12">
        <v>933</v>
      </c>
      <c r="AW12" s="224">
        <v>24647</v>
      </c>
      <c r="AX12" s="224">
        <v>1702</v>
      </c>
      <c r="AY12" s="224">
        <v>30380</v>
      </c>
      <c r="AZ12" s="224">
        <v>2868</v>
      </c>
      <c r="BA12" s="224">
        <v>78078</v>
      </c>
      <c r="BB12" s="224">
        <v>84636</v>
      </c>
      <c r="BC12" s="225">
        <v>24281.31</v>
      </c>
      <c r="BD12" s="225">
        <v>20045.05</v>
      </c>
      <c r="BE12">
        <v>296.54000000000002</v>
      </c>
      <c r="BF12" s="225">
        <v>1100.32</v>
      </c>
      <c r="BG12" s="224">
        <v>17476</v>
      </c>
      <c r="BH12">
        <v>169</v>
      </c>
      <c r="BI12" s="224">
        <v>13665</v>
      </c>
      <c r="BJ12" s="224">
        <v>24972</v>
      </c>
      <c r="BK12" s="224">
        <v>1783</v>
      </c>
      <c r="BL12" s="224">
        <v>4500</v>
      </c>
      <c r="BM12" s="224">
        <v>5200</v>
      </c>
      <c r="BN12">
        <v>500</v>
      </c>
      <c r="BO12" s="224">
        <v>5000</v>
      </c>
      <c r="BP12">
        <v>225</v>
      </c>
      <c r="BQ12">
        <v>85</v>
      </c>
      <c r="BR12">
        <v>7</v>
      </c>
      <c r="BS12">
        <v>44</v>
      </c>
      <c r="BT12">
        <v>46</v>
      </c>
      <c r="BU12">
        <v>47</v>
      </c>
      <c r="BV12">
        <v>33</v>
      </c>
      <c r="BW12" s="224">
        <v>4000</v>
      </c>
      <c r="BX12">
        <v>475</v>
      </c>
      <c r="BY12">
        <v>200</v>
      </c>
      <c r="BZ12">
        <v>550</v>
      </c>
      <c r="CA12">
        <v>18.3</v>
      </c>
      <c r="CB12">
        <v>19.2</v>
      </c>
      <c r="CC12">
        <v>17.7</v>
      </c>
      <c r="CD12">
        <v>73.7</v>
      </c>
      <c r="CE12">
        <v>70.5</v>
      </c>
      <c r="CF12">
        <v>7.7</v>
      </c>
      <c r="CG12">
        <v>7.7</v>
      </c>
      <c r="CH12">
        <v>67.2</v>
      </c>
      <c r="CI12">
        <v>69</v>
      </c>
      <c r="CJ12">
        <v>82.1</v>
      </c>
      <c r="CK12" s="224">
        <v>2000</v>
      </c>
      <c r="CL12">
        <v>855</v>
      </c>
    </row>
    <row r="13" spans="1:90" ht="14.5">
      <c r="A13" t="s">
        <v>107</v>
      </c>
      <c r="B13" t="s">
        <v>108</v>
      </c>
      <c r="C13" t="s">
        <v>109</v>
      </c>
      <c r="D13" s="224">
        <v>828998</v>
      </c>
      <c r="E13" s="224">
        <v>894082</v>
      </c>
      <c r="F13" s="224">
        <v>683864</v>
      </c>
      <c r="G13" s="224">
        <v>737841</v>
      </c>
      <c r="H13" s="224">
        <v>145134</v>
      </c>
      <c r="I13" s="224">
        <v>156241</v>
      </c>
      <c r="J13" s="224">
        <v>20579</v>
      </c>
      <c r="K13" s="224">
        <v>21973</v>
      </c>
      <c r="L13">
        <v>8</v>
      </c>
      <c r="M13">
        <v>77.099999999999994</v>
      </c>
      <c r="N13">
        <v>81.8</v>
      </c>
      <c r="O13">
        <v>58.3</v>
      </c>
      <c r="P13">
        <v>58</v>
      </c>
      <c r="Q13" s="225">
        <v>2300</v>
      </c>
      <c r="R13" s="224">
        <v>2010</v>
      </c>
      <c r="S13" s="224">
        <v>198064</v>
      </c>
      <c r="T13">
        <v>17.3</v>
      </c>
      <c r="U13" s="224">
        <v>68625</v>
      </c>
      <c r="V13">
        <v>6</v>
      </c>
      <c r="W13" s="224">
        <v>91445</v>
      </c>
      <c r="X13">
        <v>3.6</v>
      </c>
      <c r="Y13">
        <v>2.2000000000000002</v>
      </c>
      <c r="Z13">
        <v>2.8</v>
      </c>
      <c r="AA13" s="224">
        <v>7388</v>
      </c>
      <c r="AB13" s="224">
        <v>7624</v>
      </c>
      <c r="AC13" s="224">
        <v>15570</v>
      </c>
      <c r="AD13" s="224">
        <v>2140</v>
      </c>
      <c r="AE13" s="224">
        <v>2605</v>
      </c>
      <c r="AF13" t="s">
        <v>597</v>
      </c>
      <c r="AG13" t="s">
        <v>597</v>
      </c>
      <c r="AH13" s="224">
        <v>1675</v>
      </c>
      <c r="AI13" s="224">
        <v>3980</v>
      </c>
      <c r="AJ13" t="s">
        <v>597</v>
      </c>
      <c r="AK13" t="s">
        <v>597</v>
      </c>
      <c r="AL13" s="224">
        <v>5870</v>
      </c>
      <c r="AM13" s="224">
        <v>9700</v>
      </c>
      <c r="AN13">
        <v>64.2</v>
      </c>
      <c r="AO13" s="224">
        <v>544892</v>
      </c>
      <c r="AP13" s="224">
        <v>580729</v>
      </c>
      <c r="AQ13" s="224">
        <v>540441</v>
      </c>
      <c r="AR13" s="224">
        <v>1135493</v>
      </c>
      <c r="AS13" s="224">
        <v>256083</v>
      </c>
      <c r="AT13" s="224">
        <v>211644</v>
      </c>
      <c r="AU13" s="224">
        <v>432150</v>
      </c>
      <c r="AV13">
        <v>414</v>
      </c>
      <c r="AW13" s="224">
        <v>115132</v>
      </c>
      <c r="AX13" s="224">
        <v>17332</v>
      </c>
      <c r="AY13" s="224">
        <v>162321</v>
      </c>
      <c r="AZ13" s="224">
        <v>16953</v>
      </c>
      <c r="BA13" s="224">
        <v>379554</v>
      </c>
      <c r="BB13" s="224">
        <v>449103</v>
      </c>
      <c r="BC13" s="225">
        <v>37440.03</v>
      </c>
      <c r="BD13" s="225">
        <v>23642.27</v>
      </c>
      <c r="BE13">
        <v>347.63</v>
      </c>
      <c r="BF13" s="225">
        <v>1465.53</v>
      </c>
      <c r="BG13" s="224">
        <v>75298</v>
      </c>
      <c r="BH13">
        <v>0</v>
      </c>
      <c r="BI13" s="224">
        <v>54319</v>
      </c>
      <c r="BJ13" s="224">
        <v>63960</v>
      </c>
      <c r="BK13" s="224">
        <v>4849</v>
      </c>
      <c r="BL13" s="224">
        <v>28000</v>
      </c>
      <c r="BM13" s="224">
        <v>30000</v>
      </c>
      <c r="BN13" s="224">
        <v>1400</v>
      </c>
      <c r="BO13" s="224">
        <v>29000</v>
      </c>
      <c r="BP13" s="224">
        <v>1600</v>
      </c>
      <c r="BQ13">
        <v>76</v>
      </c>
      <c r="BR13">
        <v>5</v>
      </c>
      <c r="BS13">
        <v>33</v>
      </c>
      <c r="BT13">
        <v>40</v>
      </c>
      <c r="BU13">
        <v>42</v>
      </c>
      <c r="BV13">
        <v>32</v>
      </c>
      <c r="BW13" s="224">
        <v>23000</v>
      </c>
      <c r="BX13" s="224">
        <v>2400</v>
      </c>
      <c r="BY13" s="224">
        <v>1200</v>
      </c>
      <c r="BZ13" s="224">
        <v>3700</v>
      </c>
      <c r="CA13">
        <v>18.600000000000001</v>
      </c>
      <c r="CB13">
        <v>18.8</v>
      </c>
      <c r="CC13">
        <v>18.399999999999999</v>
      </c>
      <c r="CD13">
        <v>71</v>
      </c>
      <c r="CE13">
        <v>70.8</v>
      </c>
      <c r="CF13">
        <v>6.5</v>
      </c>
      <c r="CG13">
        <v>6.8</v>
      </c>
      <c r="CH13">
        <v>66.599999999999994</v>
      </c>
      <c r="CI13">
        <v>67.599999999999994</v>
      </c>
      <c r="CJ13">
        <v>76.2</v>
      </c>
      <c r="CK13" s="224">
        <v>3830</v>
      </c>
      <c r="CL13" s="224">
        <v>4380</v>
      </c>
    </row>
    <row r="14" spans="1:90" ht="14.5">
      <c r="A14" t="s">
        <v>110</v>
      </c>
      <c r="B14" t="s">
        <v>111</v>
      </c>
      <c r="C14" t="s">
        <v>112</v>
      </c>
      <c r="D14" s="224">
        <v>111460</v>
      </c>
      <c r="E14" s="224">
        <v>122202</v>
      </c>
      <c r="F14" s="224">
        <v>90443</v>
      </c>
      <c r="G14" s="224">
        <v>98692</v>
      </c>
      <c r="H14" s="224">
        <v>21017</v>
      </c>
      <c r="I14" s="224">
        <v>23510</v>
      </c>
      <c r="J14" s="224">
        <v>2485</v>
      </c>
      <c r="K14" s="224">
        <v>2655</v>
      </c>
      <c r="L14">
        <v>8.6</v>
      </c>
      <c r="M14">
        <v>76.5</v>
      </c>
      <c r="N14">
        <v>80.400000000000006</v>
      </c>
      <c r="O14">
        <v>54</v>
      </c>
      <c r="P14">
        <v>54.4</v>
      </c>
      <c r="Q14">
        <v>440</v>
      </c>
      <c r="R14">
        <v>375</v>
      </c>
      <c r="S14" s="224">
        <v>28575</v>
      </c>
      <c r="T14">
        <v>18.5</v>
      </c>
      <c r="U14" s="224">
        <v>10271</v>
      </c>
      <c r="V14">
        <v>6.6</v>
      </c>
      <c r="W14" s="224">
        <v>13279</v>
      </c>
      <c r="X14">
        <v>3.8</v>
      </c>
      <c r="Y14">
        <v>2.2999999999999998</v>
      </c>
      <c r="Z14">
        <v>3</v>
      </c>
      <c r="AA14" s="224">
        <v>1129</v>
      </c>
      <c r="AB14" s="224">
        <v>1083</v>
      </c>
      <c r="AC14" s="224">
        <v>3330</v>
      </c>
      <c r="AD14">
        <v>430</v>
      </c>
      <c r="AE14">
        <v>415</v>
      </c>
      <c r="AF14">
        <v>280</v>
      </c>
      <c r="AG14" t="s">
        <v>597</v>
      </c>
      <c r="AH14">
        <v>120</v>
      </c>
      <c r="AI14" s="224">
        <v>1020</v>
      </c>
      <c r="AJ14">
        <v>130</v>
      </c>
      <c r="AK14" t="s">
        <v>597</v>
      </c>
      <c r="AL14" s="224">
        <v>1255</v>
      </c>
      <c r="AM14" s="224">
        <v>2075</v>
      </c>
      <c r="AN14">
        <v>57.7</v>
      </c>
      <c r="AO14" s="224">
        <v>84524</v>
      </c>
      <c r="AP14" s="224">
        <v>90688</v>
      </c>
      <c r="AQ14" s="224">
        <v>80532</v>
      </c>
      <c r="AR14" s="224">
        <v>146814</v>
      </c>
      <c r="AS14" s="224">
        <v>34220</v>
      </c>
      <c r="AT14" s="224">
        <v>33075</v>
      </c>
      <c r="AU14" s="224">
        <v>63428</v>
      </c>
      <c r="AV14">
        <v>654</v>
      </c>
      <c r="AW14" s="224">
        <v>17775</v>
      </c>
      <c r="AX14" s="224">
        <v>3779</v>
      </c>
      <c r="AY14" s="224">
        <v>22205</v>
      </c>
      <c r="AZ14" s="224">
        <v>4257</v>
      </c>
      <c r="BA14" s="224">
        <v>62136</v>
      </c>
      <c r="BB14" s="224">
        <v>67685</v>
      </c>
      <c r="BC14" s="225">
        <v>25752.99</v>
      </c>
      <c r="BD14" s="225">
        <v>17043.37</v>
      </c>
      <c r="BE14">
        <v>353.36</v>
      </c>
      <c r="BF14" s="225">
        <v>1567.59</v>
      </c>
      <c r="BG14" s="224">
        <v>10316</v>
      </c>
      <c r="BH14" s="224">
        <v>2809</v>
      </c>
      <c r="BI14" s="224">
        <v>8544</v>
      </c>
      <c r="BJ14" s="224">
        <v>17575</v>
      </c>
      <c r="BK14" s="224">
        <v>2404</v>
      </c>
      <c r="BL14" s="224">
        <v>3100</v>
      </c>
      <c r="BM14" s="224">
        <v>3800</v>
      </c>
      <c r="BN14">
        <v>275</v>
      </c>
      <c r="BO14" s="224">
        <v>3400</v>
      </c>
      <c r="BP14">
        <v>350</v>
      </c>
      <c r="BQ14">
        <v>79</v>
      </c>
      <c r="BR14">
        <v>2</v>
      </c>
      <c r="BS14">
        <v>15</v>
      </c>
      <c r="BT14">
        <v>35</v>
      </c>
      <c r="BU14">
        <v>44</v>
      </c>
      <c r="BV14">
        <v>62</v>
      </c>
      <c r="BW14" s="224">
        <v>2800</v>
      </c>
      <c r="BX14">
        <v>300</v>
      </c>
      <c r="BY14">
        <v>200</v>
      </c>
      <c r="BZ14">
        <v>500</v>
      </c>
      <c r="CA14">
        <v>19</v>
      </c>
      <c r="CB14">
        <v>19.3</v>
      </c>
      <c r="CC14">
        <v>18.8</v>
      </c>
      <c r="CD14">
        <v>74.3</v>
      </c>
      <c r="CE14">
        <v>70.2</v>
      </c>
      <c r="CF14">
        <v>7.3</v>
      </c>
      <c r="CG14">
        <v>7.2</v>
      </c>
      <c r="CH14">
        <v>65.2</v>
      </c>
      <c r="CI14">
        <v>66</v>
      </c>
      <c r="CJ14">
        <v>72.7</v>
      </c>
      <c r="CK14">
        <v>505</v>
      </c>
      <c r="CL14">
        <v>530</v>
      </c>
    </row>
    <row r="15" spans="1:90" ht="14.5">
      <c r="A15" t="s">
        <v>113</v>
      </c>
      <c r="B15" t="s">
        <v>114</v>
      </c>
      <c r="C15" t="s">
        <v>115</v>
      </c>
      <c r="D15" s="224">
        <v>113305</v>
      </c>
      <c r="E15" s="224">
        <v>115164</v>
      </c>
      <c r="F15" s="224">
        <v>84673</v>
      </c>
      <c r="G15" s="224">
        <v>84770</v>
      </c>
      <c r="H15" s="224">
        <v>28632</v>
      </c>
      <c r="I15" s="224">
        <v>30394</v>
      </c>
      <c r="J15" s="224">
        <v>3758</v>
      </c>
      <c r="K15" s="224">
        <v>3868</v>
      </c>
      <c r="L15">
        <v>10.4</v>
      </c>
      <c r="M15">
        <v>73.7</v>
      </c>
      <c r="N15">
        <v>79.099999999999994</v>
      </c>
      <c r="O15">
        <v>50.9</v>
      </c>
      <c r="P15">
        <v>51.8</v>
      </c>
      <c r="Q15">
        <v>530</v>
      </c>
      <c r="R15">
        <v>470</v>
      </c>
      <c r="S15" s="224">
        <v>35459</v>
      </c>
      <c r="T15">
        <v>25.1</v>
      </c>
      <c r="U15" s="224">
        <v>12885</v>
      </c>
      <c r="V15">
        <v>9.1</v>
      </c>
      <c r="W15" s="224">
        <v>14613</v>
      </c>
      <c r="X15">
        <v>4.4000000000000004</v>
      </c>
      <c r="Y15">
        <v>2.6</v>
      </c>
      <c r="Z15">
        <v>3.9</v>
      </c>
      <c r="AA15" s="224">
        <v>1686</v>
      </c>
      <c r="AB15" s="224">
        <v>1720</v>
      </c>
      <c r="AC15" s="224">
        <v>4190</v>
      </c>
      <c r="AD15">
        <v>275</v>
      </c>
      <c r="AE15">
        <v>865</v>
      </c>
      <c r="AF15" t="s">
        <v>597</v>
      </c>
      <c r="AG15" t="s">
        <v>597</v>
      </c>
      <c r="AH15">
        <v>125</v>
      </c>
      <c r="AI15" s="224">
        <v>1645</v>
      </c>
      <c r="AJ15" t="s">
        <v>597</v>
      </c>
      <c r="AK15" t="s">
        <v>597</v>
      </c>
      <c r="AL15" s="224">
        <v>1310</v>
      </c>
      <c r="AM15" s="224">
        <v>2880</v>
      </c>
      <c r="AN15">
        <v>67</v>
      </c>
      <c r="AO15" s="224">
        <v>101784</v>
      </c>
      <c r="AP15" s="224">
        <v>106630</v>
      </c>
      <c r="AQ15" s="224">
        <v>83539</v>
      </c>
      <c r="AR15" s="224">
        <v>178671</v>
      </c>
      <c r="AS15" s="224">
        <v>42202</v>
      </c>
      <c r="AT15" s="224">
        <v>45454</v>
      </c>
      <c r="AU15" s="224">
        <v>84281</v>
      </c>
      <c r="AV15" s="224">
        <v>1221</v>
      </c>
      <c r="AW15" s="224">
        <v>23540</v>
      </c>
      <c r="AX15" s="224">
        <v>2854</v>
      </c>
      <c r="AY15" s="224">
        <v>28646</v>
      </c>
      <c r="AZ15" s="224">
        <v>4304</v>
      </c>
      <c r="BA15" s="224">
        <v>79180</v>
      </c>
      <c r="BB15" s="224">
        <v>88585</v>
      </c>
      <c r="BC15" s="225">
        <v>31465.65</v>
      </c>
      <c r="BD15" s="225">
        <v>16446.18</v>
      </c>
      <c r="BE15">
        <v>512.24</v>
      </c>
      <c r="BF15" s="225">
        <v>1589.39</v>
      </c>
      <c r="BG15" s="224">
        <v>23088</v>
      </c>
      <c r="BH15">
        <v>43</v>
      </c>
      <c r="BI15" s="224">
        <v>18686</v>
      </c>
      <c r="BJ15" s="224">
        <v>20225</v>
      </c>
      <c r="BK15">
        <v>461</v>
      </c>
      <c r="BL15" s="224">
        <v>4200</v>
      </c>
      <c r="BM15" s="224">
        <v>4400</v>
      </c>
      <c r="BN15">
        <v>325</v>
      </c>
      <c r="BO15" s="224">
        <v>3800</v>
      </c>
      <c r="BP15">
        <v>600</v>
      </c>
      <c r="BQ15">
        <v>73</v>
      </c>
      <c r="BR15">
        <v>3</v>
      </c>
      <c r="BS15">
        <v>14</v>
      </c>
      <c r="BT15">
        <v>36</v>
      </c>
      <c r="BU15">
        <v>44</v>
      </c>
      <c r="BV15">
        <v>78</v>
      </c>
      <c r="BW15" s="224">
        <v>3100</v>
      </c>
      <c r="BX15">
        <v>450</v>
      </c>
      <c r="BY15">
        <v>225</v>
      </c>
      <c r="BZ15">
        <v>650</v>
      </c>
      <c r="CA15">
        <v>19.3</v>
      </c>
      <c r="CB15">
        <v>19.600000000000001</v>
      </c>
      <c r="CC15">
        <v>19.2</v>
      </c>
      <c r="CD15">
        <v>77.2</v>
      </c>
      <c r="CE15">
        <v>73.8</v>
      </c>
      <c r="CF15">
        <v>7.3</v>
      </c>
      <c r="CG15">
        <v>7.7</v>
      </c>
      <c r="CH15">
        <v>71.3</v>
      </c>
      <c r="CI15">
        <v>72</v>
      </c>
      <c r="CJ15">
        <v>77.3</v>
      </c>
      <c r="CK15" s="224">
        <v>1285</v>
      </c>
      <c r="CL15" s="224">
        <v>1090</v>
      </c>
    </row>
    <row r="16" spans="1:90" ht="14.5">
      <c r="A16" t="s">
        <v>116</v>
      </c>
      <c r="B16" t="s">
        <v>117</v>
      </c>
      <c r="C16" t="s">
        <v>118</v>
      </c>
      <c r="D16" s="224">
        <v>217577</v>
      </c>
      <c r="E16" s="224">
        <v>235446</v>
      </c>
      <c r="F16" s="224">
        <v>170075</v>
      </c>
      <c r="G16" s="224">
        <v>182319</v>
      </c>
      <c r="H16" s="224">
        <v>47502</v>
      </c>
      <c r="I16" s="224">
        <v>53127</v>
      </c>
      <c r="J16" s="224">
        <v>5495</v>
      </c>
      <c r="K16" s="224">
        <v>6272</v>
      </c>
      <c r="L16">
        <v>8.8000000000000007</v>
      </c>
      <c r="M16">
        <v>76.900000000000006</v>
      </c>
      <c r="N16">
        <v>81.400000000000006</v>
      </c>
      <c r="O16">
        <v>54.6</v>
      </c>
      <c r="P16">
        <v>55.3</v>
      </c>
      <c r="Q16">
        <v>860</v>
      </c>
      <c r="R16">
        <v>785</v>
      </c>
      <c r="S16" s="224">
        <v>53598</v>
      </c>
      <c r="T16">
        <v>18.100000000000001</v>
      </c>
      <c r="U16" s="224">
        <v>18197</v>
      </c>
      <c r="V16">
        <v>6.1</v>
      </c>
      <c r="W16" s="224">
        <v>25980</v>
      </c>
      <c r="X16">
        <v>4.0999999999999996</v>
      </c>
      <c r="Y16">
        <v>2.1</v>
      </c>
      <c r="Z16">
        <v>3.1</v>
      </c>
      <c r="AA16" s="224">
        <v>1899</v>
      </c>
      <c r="AB16" s="224">
        <v>1906</v>
      </c>
      <c r="AC16" s="224">
        <v>5820</v>
      </c>
      <c r="AD16">
        <v>815</v>
      </c>
      <c r="AE16" t="s">
        <v>597</v>
      </c>
      <c r="AF16">
        <v>960</v>
      </c>
      <c r="AG16">
        <v>90</v>
      </c>
      <c r="AH16">
        <v>415</v>
      </c>
      <c r="AI16" t="s">
        <v>597</v>
      </c>
      <c r="AJ16" s="224">
        <v>1925</v>
      </c>
      <c r="AK16">
        <v>160</v>
      </c>
      <c r="AL16" s="224">
        <v>2070</v>
      </c>
      <c r="AM16" s="224">
        <v>3750</v>
      </c>
      <c r="AN16">
        <v>65.7</v>
      </c>
      <c r="AO16" s="224">
        <v>152432</v>
      </c>
      <c r="AP16" s="224">
        <v>167339</v>
      </c>
      <c r="AQ16" s="224">
        <v>137264</v>
      </c>
      <c r="AR16" s="224">
        <v>313636</v>
      </c>
      <c r="AS16" s="224">
        <v>64994</v>
      </c>
      <c r="AT16" s="224">
        <v>71032</v>
      </c>
      <c r="AU16" s="224">
        <v>119856</v>
      </c>
      <c r="AV16">
        <v>431</v>
      </c>
      <c r="AW16" s="224">
        <v>34380</v>
      </c>
      <c r="AX16" s="224">
        <v>2555</v>
      </c>
      <c r="AY16" s="224">
        <v>43720</v>
      </c>
      <c r="AZ16" s="224">
        <v>3025</v>
      </c>
      <c r="BA16" s="224">
        <v>112288</v>
      </c>
      <c r="BB16" s="224">
        <v>122881</v>
      </c>
      <c r="BC16" s="225">
        <v>26857.97</v>
      </c>
      <c r="BD16" s="225">
        <v>17942.669999999998</v>
      </c>
      <c r="BE16">
        <v>358.85</v>
      </c>
      <c r="BF16" s="225">
        <v>1385.11</v>
      </c>
      <c r="BG16" s="224">
        <v>30313</v>
      </c>
      <c r="BH16">
        <v>0</v>
      </c>
      <c r="BI16" s="224">
        <v>22806</v>
      </c>
      <c r="BJ16" s="224">
        <v>35511</v>
      </c>
      <c r="BK16">
        <v>525</v>
      </c>
      <c r="BL16" s="224">
        <v>6200</v>
      </c>
      <c r="BM16" s="224">
        <v>7000</v>
      </c>
      <c r="BN16">
        <v>425</v>
      </c>
      <c r="BO16" s="224">
        <v>6300</v>
      </c>
      <c r="BP16">
        <v>650</v>
      </c>
      <c r="BQ16">
        <v>80</v>
      </c>
      <c r="BR16">
        <v>2</v>
      </c>
      <c r="BS16">
        <v>25</v>
      </c>
      <c r="BT16">
        <v>45</v>
      </c>
      <c r="BU16">
        <v>44</v>
      </c>
      <c r="BV16">
        <v>56</v>
      </c>
      <c r="BW16" s="224">
        <v>5300</v>
      </c>
      <c r="BX16">
        <v>550</v>
      </c>
      <c r="BY16">
        <v>275</v>
      </c>
      <c r="BZ16">
        <v>850</v>
      </c>
      <c r="CA16">
        <v>18.7</v>
      </c>
      <c r="CB16">
        <v>18.899999999999999</v>
      </c>
      <c r="CC16">
        <v>18.600000000000001</v>
      </c>
      <c r="CD16">
        <v>75.900000000000006</v>
      </c>
      <c r="CE16">
        <v>72.900000000000006</v>
      </c>
      <c r="CF16">
        <v>7.4</v>
      </c>
      <c r="CG16">
        <v>7.6</v>
      </c>
      <c r="CH16">
        <v>63.1</v>
      </c>
      <c r="CI16">
        <v>64.400000000000006</v>
      </c>
      <c r="CJ16">
        <v>83.6</v>
      </c>
      <c r="CK16" s="224">
        <v>1965</v>
      </c>
      <c r="CL16" s="224">
        <v>2245</v>
      </c>
    </row>
    <row r="17" spans="1:90" ht="14.5">
      <c r="A17" t="s">
        <v>119</v>
      </c>
      <c r="B17" t="s">
        <v>120</v>
      </c>
      <c r="C17" t="s">
        <v>121</v>
      </c>
      <c r="D17" s="224">
        <v>320720</v>
      </c>
      <c r="E17" s="224">
        <v>332742</v>
      </c>
      <c r="F17" s="224">
        <v>237550</v>
      </c>
      <c r="G17" s="224">
        <v>242120</v>
      </c>
      <c r="H17" s="224">
        <v>83170</v>
      </c>
      <c r="I17" s="224">
        <v>90622</v>
      </c>
      <c r="J17" s="224">
        <v>13945</v>
      </c>
      <c r="K17" s="224">
        <v>14056</v>
      </c>
      <c r="L17">
        <v>8.3000000000000007</v>
      </c>
      <c r="M17">
        <v>79.7</v>
      </c>
      <c r="N17">
        <v>83.9</v>
      </c>
      <c r="O17">
        <v>61.4</v>
      </c>
      <c r="P17">
        <v>61.5</v>
      </c>
      <c r="Q17" s="225">
        <v>1075</v>
      </c>
      <c r="R17">
        <v>945</v>
      </c>
      <c r="S17" s="224">
        <v>73838</v>
      </c>
      <c r="T17">
        <v>18.5</v>
      </c>
      <c r="U17" s="224">
        <v>20965</v>
      </c>
      <c r="V17">
        <v>5.2</v>
      </c>
      <c r="W17" s="224">
        <v>33352</v>
      </c>
      <c r="X17">
        <v>4.5999999999999996</v>
      </c>
      <c r="Y17">
        <v>1.7</v>
      </c>
      <c r="Z17">
        <v>2.5</v>
      </c>
      <c r="AA17" s="224">
        <v>4420</v>
      </c>
      <c r="AB17" s="224">
        <v>4604</v>
      </c>
      <c r="AC17" s="224">
        <v>5590</v>
      </c>
      <c r="AD17">
        <v>430</v>
      </c>
      <c r="AE17" s="224">
        <v>1075</v>
      </c>
      <c r="AF17" t="s">
        <v>597</v>
      </c>
      <c r="AG17" t="s">
        <v>597</v>
      </c>
      <c r="AH17">
        <v>235</v>
      </c>
      <c r="AI17" s="224">
        <v>1800</v>
      </c>
      <c r="AJ17" t="s">
        <v>597</v>
      </c>
      <c r="AK17" t="s">
        <v>597</v>
      </c>
      <c r="AL17" s="224">
        <v>1790</v>
      </c>
      <c r="AM17" s="224">
        <v>3800</v>
      </c>
      <c r="AN17">
        <v>59.2</v>
      </c>
      <c r="AO17" s="224">
        <v>212150</v>
      </c>
      <c r="AP17" s="224">
        <v>237174</v>
      </c>
      <c r="AQ17" s="224">
        <v>201434</v>
      </c>
      <c r="AR17" s="224">
        <v>364930</v>
      </c>
      <c r="AS17" s="224">
        <v>85907</v>
      </c>
      <c r="AT17" s="224">
        <v>118912</v>
      </c>
      <c r="AU17" s="224">
        <v>179849</v>
      </c>
      <c r="AV17">
        <v>20</v>
      </c>
      <c r="AW17" s="224">
        <v>54366</v>
      </c>
      <c r="AX17">
        <v>453</v>
      </c>
      <c r="AY17" s="224">
        <v>43219</v>
      </c>
      <c r="AZ17">
        <v>175</v>
      </c>
      <c r="BA17" s="224">
        <v>170194</v>
      </c>
      <c r="BB17" s="224">
        <v>180024</v>
      </c>
      <c r="BC17" s="225">
        <v>42658.1</v>
      </c>
      <c r="BD17" s="225">
        <v>27280.53</v>
      </c>
      <c r="BE17">
        <v>354.89</v>
      </c>
      <c r="BF17" s="225">
        <v>1317.17</v>
      </c>
      <c r="BG17" s="224">
        <v>35654</v>
      </c>
      <c r="BH17">
        <v>0</v>
      </c>
      <c r="BI17" s="224">
        <v>19764</v>
      </c>
      <c r="BJ17" s="224">
        <v>43781</v>
      </c>
      <c r="BK17" s="224">
        <v>5416</v>
      </c>
      <c r="BL17" s="224">
        <v>11500</v>
      </c>
      <c r="BM17" s="224">
        <v>12500</v>
      </c>
      <c r="BN17">
        <v>750</v>
      </c>
      <c r="BO17" s="224">
        <v>12000</v>
      </c>
      <c r="BP17">
        <v>750</v>
      </c>
      <c r="BQ17">
        <v>76</v>
      </c>
      <c r="BR17">
        <v>14</v>
      </c>
      <c r="BS17">
        <v>32</v>
      </c>
      <c r="BT17">
        <v>38</v>
      </c>
      <c r="BU17">
        <v>43</v>
      </c>
      <c r="BV17">
        <v>64</v>
      </c>
      <c r="BW17" s="224">
        <v>9200</v>
      </c>
      <c r="BX17" s="224">
        <v>1100</v>
      </c>
      <c r="BY17">
        <v>550</v>
      </c>
      <c r="BZ17" s="224">
        <v>1800</v>
      </c>
      <c r="CA17">
        <v>18.8</v>
      </c>
      <c r="CB17">
        <v>19.5</v>
      </c>
      <c r="CC17">
        <v>18.399999999999999</v>
      </c>
      <c r="CD17">
        <v>71.7</v>
      </c>
      <c r="CE17">
        <v>66.2</v>
      </c>
      <c r="CF17">
        <v>7.5</v>
      </c>
      <c r="CG17">
        <v>7.7</v>
      </c>
      <c r="CH17">
        <v>66</v>
      </c>
      <c r="CI17">
        <v>67.2</v>
      </c>
      <c r="CJ17">
        <v>94.7</v>
      </c>
      <c r="CK17" s="224">
        <v>5830</v>
      </c>
      <c r="CL17" s="224">
        <v>6910</v>
      </c>
    </row>
    <row r="18" spans="1:90" ht="14.5">
      <c r="A18" t="s">
        <v>122</v>
      </c>
      <c r="B18" t="s">
        <v>123</v>
      </c>
      <c r="C18" t="s">
        <v>124</v>
      </c>
      <c r="D18" s="224">
        <v>91431</v>
      </c>
      <c r="E18" s="224">
        <v>102815</v>
      </c>
      <c r="F18" s="224">
        <v>75229</v>
      </c>
      <c r="G18" s="224">
        <v>81212</v>
      </c>
      <c r="H18" s="224">
        <v>16202</v>
      </c>
      <c r="I18" s="224">
        <v>21603</v>
      </c>
      <c r="J18" s="224">
        <v>2041</v>
      </c>
      <c r="K18" s="224">
        <v>2778</v>
      </c>
      <c r="L18">
        <v>7</v>
      </c>
      <c r="M18">
        <v>81.2</v>
      </c>
      <c r="N18">
        <v>85.2</v>
      </c>
      <c r="O18">
        <v>65.2</v>
      </c>
      <c r="P18">
        <v>67</v>
      </c>
      <c r="Q18">
        <v>330</v>
      </c>
      <c r="R18">
        <v>280</v>
      </c>
      <c r="S18" s="224">
        <v>16703</v>
      </c>
      <c r="T18">
        <v>13.4</v>
      </c>
      <c r="U18" s="224">
        <v>3993</v>
      </c>
      <c r="V18">
        <v>3.2</v>
      </c>
      <c r="W18" s="224">
        <v>8770</v>
      </c>
      <c r="X18">
        <v>4.0999999999999996</v>
      </c>
      <c r="Y18">
        <v>1.3</v>
      </c>
      <c r="Z18">
        <v>2.1</v>
      </c>
      <c r="AA18">
        <v>719</v>
      </c>
      <c r="AB18">
        <v>781</v>
      </c>
      <c r="AC18" s="224">
        <v>1450</v>
      </c>
      <c r="AD18">
        <v>130</v>
      </c>
      <c r="AE18">
        <v>335</v>
      </c>
      <c r="AF18" t="s">
        <v>597</v>
      </c>
      <c r="AG18" t="s">
        <v>597</v>
      </c>
      <c r="AH18">
        <v>95</v>
      </c>
      <c r="AI18">
        <v>460</v>
      </c>
      <c r="AJ18" t="s">
        <v>597</v>
      </c>
      <c r="AK18" t="s">
        <v>597</v>
      </c>
      <c r="AL18">
        <v>515</v>
      </c>
      <c r="AM18">
        <v>935</v>
      </c>
      <c r="AN18">
        <v>67.8</v>
      </c>
      <c r="AO18" s="224">
        <v>61866</v>
      </c>
      <c r="AP18" s="224">
        <v>66841</v>
      </c>
      <c r="AQ18" s="224">
        <v>57260</v>
      </c>
      <c r="AR18" s="224">
        <v>117237</v>
      </c>
      <c r="AS18" s="224">
        <v>20070</v>
      </c>
      <c r="AT18" s="224">
        <v>26710</v>
      </c>
      <c r="AU18" s="224">
        <v>44236</v>
      </c>
      <c r="AV18">
        <v>120</v>
      </c>
      <c r="AW18" s="224">
        <v>15610</v>
      </c>
      <c r="AX18" s="224">
        <v>2084</v>
      </c>
      <c r="AY18" s="224">
        <v>9265</v>
      </c>
      <c r="AZ18" s="224">
        <v>2588</v>
      </c>
      <c r="BA18" s="224">
        <v>45489</v>
      </c>
      <c r="BB18" s="224">
        <v>46824</v>
      </c>
      <c r="BC18" s="225">
        <v>40951.46</v>
      </c>
      <c r="BD18" s="225">
        <v>27522.99</v>
      </c>
      <c r="BE18">
        <v>248.61</v>
      </c>
      <c r="BF18" s="225">
        <v>1332.87</v>
      </c>
      <c r="BG18" s="224">
        <v>9581</v>
      </c>
      <c r="BH18">
        <v>0</v>
      </c>
      <c r="BI18" s="224">
        <v>7152</v>
      </c>
      <c r="BJ18" s="224">
        <v>7157</v>
      </c>
      <c r="BK18" s="224">
        <v>2965</v>
      </c>
      <c r="BL18" s="224">
        <v>1900</v>
      </c>
      <c r="BM18" s="224">
        <v>2100</v>
      </c>
      <c r="BN18">
        <v>200</v>
      </c>
      <c r="BO18" s="224">
        <v>1800</v>
      </c>
      <c r="BP18">
        <v>325</v>
      </c>
      <c r="BQ18">
        <v>81</v>
      </c>
      <c r="BR18">
        <v>13</v>
      </c>
      <c r="BS18">
        <v>29</v>
      </c>
      <c r="BT18">
        <v>27</v>
      </c>
      <c r="BU18">
        <v>43</v>
      </c>
      <c r="BV18">
        <v>61</v>
      </c>
      <c r="BW18" s="224">
        <v>1500</v>
      </c>
      <c r="BX18">
        <v>200</v>
      </c>
      <c r="BY18">
        <v>150</v>
      </c>
      <c r="BZ18">
        <v>300</v>
      </c>
      <c r="CA18">
        <v>19.100000000000001</v>
      </c>
      <c r="CB18">
        <v>19.7</v>
      </c>
      <c r="CC18">
        <v>18.600000000000001</v>
      </c>
      <c r="CD18">
        <v>77.3</v>
      </c>
      <c r="CE18">
        <v>69.099999999999994</v>
      </c>
      <c r="CF18">
        <v>7.6</v>
      </c>
      <c r="CG18">
        <v>7.8</v>
      </c>
      <c r="CH18">
        <v>65.900000000000006</v>
      </c>
      <c r="CI18">
        <v>68.400000000000006</v>
      </c>
      <c r="CJ18">
        <v>66.7</v>
      </c>
      <c r="CK18">
        <v>480</v>
      </c>
      <c r="CL18">
        <v>570</v>
      </c>
    </row>
    <row r="19" spans="1:90" ht="14.5">
      <c r="A19" t="s">
        <v>125</v>
      </c>
      <c r="B19" t="s">
        <v>126</v>
      </c>
      <c r="C19" t="s">
        <v>127</v>
      </c>
      <c r="D19" s="224">
        <v>394534</v>
      </c>
      <c r="E19" s="224">
        <v>418897</v>
      </c>
      <c r="F19" s="224">
        <v>318304</v>
      </c>
      <c r="G19" s="224">
        <v>329373</v>
      </c>
      <c r="H19" s="224">
        <v>76230</v>
      </c>
      <c r="I19" s="224">
        <v>89524</v>
      </c>
      <c r="J19" s="224">
        <v>10052</v>
      </c>
      <c r="K19" s="224">
        <v>11856</v>
      </c>
      <c r="L19">
        <v>8.3000000000000007</v>
      </c>
      <c r="M19">
        <v>77</v>
      </c>
      <c r="N19">
        <v>81.7</v>
      </c>
      <c r="O19">
        <v>57.4</v>
      </c>
      <c r="P19">
        <v>58.2</v>
      </c>
      <c r="Q19" s="225">
        <v>1500</v>
      </c>
      <c r="R19" s="224">
        <v>1340</v>
      </c>
      <c r="S19" s="224">
        <v>93697</v>
      </c>
      <c r="T19">
        <v>17.100000000000001</v>
      </c>
      <c r="U19" s="224">
        <v>32484</v>
      </c>
      <c r="V19">
        <v>5.9</v>
      </c>
      <c r="W19" s="224">
        <v>45643</v>
      </c>
      <c r="X19">
        <v>3.9</v>
      </c>
      <c r="Y19">
        <v>2.2999999999999998</v>
      </c>
      <c r="Z19">
        <v>2.8</v>
      </c>
      <c r="AA19" s="224">
        <v>4073</v>
      </c>
      <c r="AB19" s="224">
        <v>4112</v>
      </c>
      <c r="AC19" s="224">
        <v>7825</v>
      </c>
      <c r="AD19" s="224">
        <v>1045</v>
      </c>
      <c r="AE19" s="224">
        <v>1770</v>
      </c>
      <c r="AF19" t="s">
        <v>597</v>
      </c>
      <c r="AG19" t="s">
        <v>597</v>
      </c>
      <c r="AH19">
        <v>295</v>
      </c>
      <c r="AI19" s="224">
        <v>2800</v>
      </c>
      <c r="AJ19" t="s">
        <v>597</v>
      </c>
      <c r="AK19" t="s">
        <v>597</v>
      </c>
      <c r="AL19" s="224">
        <v>3095</v>
      </c>
      <c r="AM19" s="224">
        <v>4730</v>
      </c>
      <c r="AN19">
        <v>71</v>
      </c>
      <c r="AO19" s="224">
        <v>240129</v>
      </c>
      <c r="AP19" s="224">
        <v>261802</v>
      </c>
      <c r="AQ19" s="224">
        <v>225970</v>
      </c>
      <c r="AR19" s="224">
        <v>559854</v>
      </c>
      <c r="AS19" s="224">
        <v>114924</v>
      </c>
      <c r="AT19" s="224">
        <v>88962</v>
      </c>
      <c r="AU19" s="224">
        <v>181531</v>
      </c>
      <c r="AV19">
        <v>654</v>
      </c>
      <c r="AW19" s="224">
        <v>63621</v>
      </c>
      <c r="AX19" s="224">
        <v>8838</v>
      </c>
      <c r="AY19" s="224">
        <v>72389</v>
      </c>
      <c r="AZ19" s="224">
        <v>11937</v>
      </c>
      <c r="BA19" s="224">
        <v>181946</v>
      </c>
      <c r="BB19" s="224">
        <v>193468</v>
      </c>
      <c r="BC19" s="225">
        <v>33710.18</v>
      </c>
      <c r="BD19" s="225">
        <v>18844.61</v>
      </c>
      <c r="BE19">
        <v>350.9</v>
      </c>
      <c r="BF19" s="225">
        <v>1092.44</v>
      </c>
      <c r="BG19" s="224">
        <v>35481</v>
      </c>
      <c r="BH19">
        <v>0</v>
      </c>
      <c r="BI19" s="224">
        <v>33560</v>
      </c>
      <c r="BJ19" s="224">
        <v>36021</v>
      </c>
      <c r="BK19">
        <v>964</v>
      </c>
      <c r="BL19" s="224">
        <v>13000</v>
      </c>
      <c r="BM19" s="224">
        <v>14500</v>
      </c>
      <c r="BN19">
        <v>750</v>
      </c>
      <c r="BO19" s="224">
        <v>13000</v>
      </c>
      <c r="BP19" s="224">
        <v>1600</v>
      </c>
      <c r="BQ19">
        <v>78</v>
      </c>
      <c r="BR19">
        <v>2</v>
      </c>
      <c r="BS19">
        <v>18</v>
      </c>
      <c r="BT19">
        <v>43</v>
      </c>
      <c r="BU19">
        <v>43</v>
      </c>
      <c r="BV19">
        <v>56</v>
      </c>
      <c r="BW19" s="224">
        <v>10500</v>
      </c>
      <c r="BX19" s="224">
        <v>1300</v>
      </c>
      <c r="BY19">
        <v>600</v>
      </c>
      <c r="BZ19" s="224">
        <v>2000</v>
      </c>
      <c r="CA19">
        <v>19.600000000000001</v>
      </c>
      <c r="CB19">
        <v>20.2</v>
      </c>
      <c r="CC19">
        <v>19.100000000000001</v>
      </c>
      <c r="CD19">
        <v>81.7</v>
      </c>
      <c r="CE19">
        <v>80.2</v>
      </c>
      <c r="CF19">
        <v>7.5</v>
      </c>
      <c r="CG19">
        <v>7.7</v>
      </c>
      <c r="CH19">
        <v>76.7</v>
      </c>
      <c r="CI19">
        <v>76.599999999999994</v>
      </c>
      <c r="CJ19">
        <v>66.7</v>
      </c>
      <c r="CK19" s="224">
        <v>1035</v>
      </c>
      <c r="CL19">
        <v>580</v>
      </c>
    </row>
    <row r="20" spans="1:90" ht="14.5">
      <c r="A20" t="s">
        <v>128</v>
      </c>
      <c r="B20" t="s">
        <v>129</v>
      </c>
      <c r="C20" t="s">
        <v>130</v>
      </c>
      <c r="D20" s="224">
        <v>260560</v>
      </c>
      <c r="E20" s="224">
        <v>281008</v>
      </c>
      <c r="F20" s="224">
        <v>224991</v>
      </c>
      <c r="G20" s="224">
        <v>236529</v>
      </c>
      <c r="H20" s="224">
        <v>35569</v>
      </c>
      <c r="I20" s="224">
        <v>44479</v>
      </c>
      <c r="J20" s="224">
        <v>4282</v>
      </c>
      <c r="K20" s="224">
        <v>5891</v>
      </c>
      <c r="L20">
        <v>6.7</v>
      </c>
      <c r="M20">
        <v>80</v>
      </c>
      <c r="N20">
        <v>85.5</v>
      </c>
      <c r="O20">
        <v>64.5</v>
      </c>
      <c r="P20">
        <v>65.2</v>
      </c>
      <c r="Q20">
        <v>750</v>
      </c>
      <c r="R20">
        <v>630</v>
      </c>
      <c r="S20" s="224">
        <v>41163</v>
      </c>
      <c r="T20">
        <v>12.1</v>
      </c>
      <c r="U20" s="224">
        <v>14850</v>
      </c>
      <c r="V20">
        <v>4.4000000000000004</v>
      </c>
      <c r="W20" s="224">
        <v>22836</v>
      </c>
      <c r="X20">
        <v>3.3</v>
      </c>
      <c r="Y20">
        <v>1.9</v>
      </c>
      <c r="Z20">
        <v>2</v>
      </c>
      <c r="AA20" s="224">
        <v>1008</v>
      </c>
      <c r="AB20" s="224">
        <v>1048</v>
      </c>
      <c r="AC20" s="224">
        <v>5235</v>
      </c>
      <c r="AD20">
        <v>530</v>
      </c>
      <c r="AE20" s="224">
        <v>1080</v>
      </c>
      <c r="AF20">
        <v>25</v>
      </c>
      <c r="AG20" t="s">
        <v>597</v>
      </c>
      <c r="AH20">
        <v>760</v>
      </c>
      <c r="AI20" s="224">
        <v>2030</v>
      </c>
      <c r="AJ20" t="s">
        <v>597</v>
      </c>
      <c r="AK20" t="s">
        <v>597</v>
      </c>
      <c r="AL20" s="224">
        <v>1815</v>
      </c>
      <c r="AM20" s="224">
        <v>3420</v>
      </c>
      <c r="AN20">
        <v>53</v>
      </c>
      <c r="AO20" s="224">
        <v>139523</v>
      </c>
      <c r="AP20" s="224">
        <v>107679</v>
      </c>
      <c r="AQ20" s="224">
        <v>157082</v>
      </c>
      <c r="AR20" s="224">
        <v>317122</v>
      </c>
      <c r="AS20" s="224">
        <v>56867</v>
      </c>
      <c r="AT20" s="224">
        <v>52593</v>
      </c>
      <c r="AU20" s="224">
        <v>116352</v>
      </c>
      <c r="AV20" s="224">
        <v>1637</v>
      </c>
      <c r="AW20" s="224">
        <v>38879</v>
      </c>
      <c r="AX20" s="224">
        <v>6387</v>
      </c>
      <c r="AY20" s="224">
        <v>53727</v>
      </c>
      <c r="AZ20" s="224">
        <v>13308</v>
      </c>
      <c r="BA20" s="224">
        <v>110375</v>
      </c>
      <c r="BB20" s="224">
        <v>129660</v>
      </c>
      <c r="BC20" s="225">
        <v>37157.019999999997</v>
      </c>
      <c r="BD20" s="225">
        <v>18192.98</v>
      </c>
      <c r="BE20">
        <v>247.34</v>
      </c>
      <c r="BF20" s="225">
        <v>1326.02</v>
      </c>
      <c r="BG20" s="224">
        <v>11803</v>
      </c>
      <c r="BH20">
        <v>0</v>
      </c>
      <c r="BI20" s="224">
        <v>27595</v>
      </c>
      <c r="BJ20" s="224">
        <v>39804</v>
      </c>
      <c r="BK20">
        <v>0</v>
      </c>
      <c r="BL20" s="224">
        <v>5000</v>
      </c>
      <c r="BM20" s="224">
        <v>6200</v>
      </c>
      <c r="BN20" t="s">
        <v>597</v>
      </c>
      <c r="BO20" s="224">
        <v>5900</v>
      </c>
      <c r="BP20">
        <v>350</v>
      </c>
      <c r="BQ20">
        <v>76</v>
      </c>
      <c r="BR20">
        <v>8</v>
      </c>
      <c r="BS20">
        <v>48</v>
      </c>
      <c r="BT20">
        <v>25</v>
      </c>
      <c r="BU20">
        <v>45</v>
      </c>
      <c r="BV20">
        <v>17</v>
      </c>
      <c r="BW20" s="224">
        <v>4900</v>
      </c>
      <c r="BX20">
        <v>500</v>
      </c>
      <c r="BY20">
        <v>250</v>
      </c>
      <c r="BZ20">
        <v>550</v>
      </c>
      <c r="CA20">
        <v>17.600000000000001</v>
      </c>
      <c r="CB20">
        <v>17.8</v>
      </c>
      <c r="CC20">
        <v>17.399999999999999</v>
      </c>
      <c r="CD20">
        <v>63.2</v>
      </c>
      <c r="CE20">
        <v>60.9</v>
      </c>
      <c r="CF20">
        <v>7.3</v>
      </c>
      <c r="CG20">
        <v>7.5</v>
      </c>
      <c r="CH20">
        <v>60.4</v>
      </c>
      <c r="CI20">
        <v>62.1</v>
      </c>
      <c r="CJ20">
        <v>88</v>
      </c>
      <c r="CK20">
        <v>795</v>
      </c>
      <c r="CL20">
        <v>925</v>
      </c>
    </row>
    <row r="21" spans="1:90" ht="14.5">
      <c r="A21" t="s">
        <v>131</v>
      </c>
      <c r="B21" t="s">
        <v>132</v>
      </c>
      <c r="C21" t="s">
        <v>133</v>
      </c>
      <c r="D21" s="224">
        <v>227096</v>
      </c>
      <c r="E21" s="224">
        <v>239198</v>
      </c>
      <c r="F21" s="224">
        <v>189258</v>
      </c>
      <c r="G21" s="224">
        <v>197445</v>
      </c>
      <c r="H21" s="224">
        <v>37838</v>
      </c>
      <c r="I21" s="224">
        <v>41753</v>
      </c>
      <c r="J21" s="224">
        <v>5938</v>
      </c>
      <c r="K21" s="224">
        <v>5658</v>
      </c>
      <c r="L21">
        <v>7.5</v>
      </c>
      <c r="M21">
        <v>79.400000000000006</v>
      </c>
      <c r="N21">
        <v>83.6</v>
      </c>
      <c r="O21">
        <v>61.1</v>
      </c>
      <c r="P21">
        <v>62.6</v>
      </c>
      <c r="Q21">
        <v>875</v>
      </c>
      <c r="R21">
        <v>760</v>
      </c>
      <c r="S21" s="224">
        <v>51797</v>
      </c>
      <c r="T21">
        <v>18.7</v>
      </c>
      <c r="U21" s="224">
        <v>14029</v>
      </c>
      <c r="V21">
        <v>5.0999999999999996</v>
      </c>
      <c r="W21" s="224">
        <v>20804</v>
      </c>
      <c r="X21">
        <v>4.3</v>
      </c>
      <c r="Y21">
        <v>1.5</v>
      </c>
      <c r="Z21">
        <v>2</v>
      </c>
      <c r="AA21" s="224">
        <v>2115</v>
      </c>
      <c r="AB21" s="224">
        <v>2103</v>
      </c>
      <c r="AC21" s="224">
        <v>4430</v>
      </c>
      <c r="AD21">
        <v>495</v>
      </c>
      <c r="AE21" t="s">
        <v>597</v>
      </c>
      <c r="AF21" t="s">
        <v>597</v>
      </c>
      <c r="AG21" s="224">
        <v>1225</v>
      </c>
      <c r="AH21">
        <v>130</v>
      </c>
      <c r="AI21" t="s">
        <v>597</v>
      </c>
      <c r="AJ21" t="s">
        <v>597</v>
      </c>
      <c r="AK21" s="224">
        <v>1200</v>
      </c>
      <c r="AL21" s="224">
        <v>2050</v>
      </c>
      <c r="AM21" s="224">
        <v>2380</v>
      </c>
      <c r="AN21">
        <v>70.099999999999994</v>
      </c>
      <c r="AO21" s="224">
        <v>171111</v>
      </c>
      <c r="AP21" s="224">
        <v>183142</v>
      </c>
      <c r="AQ21" s="224">
        <v>159751</v>
      </c>
      <c r="AR21" s="224">
        <v>297392</v>
      </c>
      <c r="AS21" s="224">
        <v>78682</v>
      </c>
      <c r="AT21" s="224">
        <v>73793</v>
      </c>
      <c r="AU21" s="224">
        <v>142268</v>
      </c>
      <c r="AV21" s="224">
        <v>8292</v>
      </c>
      <c r="AW21" s="224">
        <v>51542</v>
      </c>
      <c r="AX21" s="224">
        <v>5466</v>
      </c>
      <c r="AY21" s="224">
        <v>42069</v>
      </c>
      <c r="AZ21" s="224">
        <v>11549</v>
      </c>
      <c r="BA21" s="224">
        <v>141530</v>
      </c>
      <c r="BB21" s="224">
        <v>153817</v>
      </c>
      <c r="BC21" s="225">
        <v>39568.29</v>
      </c>
      <c r="BD21" s="225">
        <v>30547.06</v>
      </c>
      <c r="BE21">
        <v>440.5</v>
      </c>
      <c r="BF21" s="225">
        <v>1898.28</v>
      </c>
      <c r="BG21" s="224">
        <v>23173</v>
      </c>
      <c r="BH21">
        <v>644</v>
      </c>
      <c r="BI21" s="224">
        <v>10557</v>
      </c>
      <c r="BJ21" s="224">
        <v>25774</v>
      </c>
      <c r="BK21" s="224">
        <v>2295</v>
      </c>
      <c r="BL21" s="224">
        <v>5900</v>
      </c>
      <c r="BM21" s="224">
        <v>6600</v>
      </c>
      <c r="BN21">
        <v>250</v>
      </c>
      <c r="BO21" s="224">
        <v>5800</v>
      </c>
      <c r="BP21">
        <v>750</v>
      </c>
      <c r="BQ21">
        <v>70</v>
      </c>
      <c r="BR21">
        <v>9</v>
      </c>
      <c r="BS21">
        <v>21</v>
      </c>
      <c r="BT21">
        <v>45</v>
      </c>
      <c r="BU21">
        <v>45</v>
      </c>
      <c r="BV21">
        <v>71</v>
      </c>
      <c r="BW21" s="224">
        <v>4700</v>
      </c>
      <c r="BX21">
        <v>650</v>
      </c>
      <c r="BY21">
        <v>350</v>
      </c>
      <c r="BZ21">
        <v>850</v>
      </c>
      <c r="CA21">
        <v>19</v>
      </c>
      <c r="CB21">
        <v>18.399999999999999</v>
      </c>
      <c r="CC21">
        <v>19.7</v>
      </c>
      <c r="CD21">
        <v>81.7</v>
      </c>
      <c r="CE21">
        <v>84.8</v>
      </c>
      <c r="CF21">
        <v>7.3</v>
      </c>
      <c r="CG21">
        <v>7.6</v>
      </c>
      <c r="CH21">
        <v>66</v>
      </c>
      <c r="CI21">
        <v>77</v>
      </c>
      <c r="CJ21">
        <v>80.5</v>
      </c>
      <c r="CK21" s="224">
        <v>1320</v>
      </c>
      <c r="CL21" s="224">
        <v>1430</v>
      </c>
    </row>
    <row r="22" spans="1:90" ht="14.5">
      <c r="A22" t="s">
        <v>134</v>
      </c>
      <c r="B22" t="s">
        <v>135</v>
      </c>
      <c r="C22" t="s">
        <v>136</v>
      </c>
      <c r="D22" s="224">
        <v>359651</v>
      </c>
      <c r="E22" s="224">
        <v>406210</v>
      </c>
      <c r="F22" s="224">
        <v>300428</v>
      </c>
      <c r="G22" s="224">
        <v>343154</v>
      </c>
      <c r="H22" s="224">
        <v>59223</v>
      </c>
      <c r="I22" s="224">
        <v>63056</v>
      </c>
      <c r="J22" s="224">
        <v>8981</v>
      </c>
      <c r="K22" s="224">
        <v>8594</v>
      </c>
      <c r="L22">
        <v>7.2</v>
      </c>
      <c r="M22">
        <v>78.5</v>
      </c>
      <c r="N22">
        <v>83</v>
      </c>
      <c r="O22">
        <v>60.1</v>
      </c>
      <c r="P22">
        <v>60.1</v>
      </c>
      <c r="Q22" s="225">
        <v>1240</v>
      </c>
      <c r="R22" s="224">
        <v>1050</v>
      </c>
      <c r="S22" s="224">
        <v>81159</v>
      </c>
      <c r="T22">
        <v>17.2</v>
      </c>
      <c r="U22" s="224">
        <v>23451</v>
      </c>
      <c r="V22">
        <v>5</v>
      </c>
      <c r="W22" s="224">
        <v>33973</v>
      </c>
      <c r="X22">
        <v>4</v>
      </c>
      <c r="Y22">
        <v>1.5</v>
      </c>
      <c r="Z22">
        <v>2.1</v>
      </c>
      <c r="AA22" s="224">
        <v>2774</v>
      </c>
      <c r="AB22" s="224">
        <v>2911</v>
      </c>
      <c r="AC22" s="224">
        <v>6975</v>
      </c>
      <c r="AD22">
        <v>615</v>
      </c>
      <c r="AE22" s="224">
        <v>2020</v>
      </c>
      <c r="AF22">
        <v>55</v>
      </c>
      <c r="AG22" t="s">
        <v>597</v>
      </c>
      <c r="AH22">
        <v>210</v>
      </c>
      <c r="AI22" s="224">
        <v>2005</v>
      </c>
      <c r="AJ22">
        <v>35</v>
      </c>
      <c r="AK22" t="s">
        <v>597</v>
      </c>
      <c r="AL22" s="224">
        <v>3165</v>
      </c>
      <c r="AM22" s="224">
        <v>3810</v>
      </c>
      <c r="AN22">
        <v>61.2</v>
      </c>
      <c r="AO22" s="224">
        <v>271367</v>
      </c>
      <c r="AP22" s="224">
        <v>272811</v>
      </c>
      <c r="AQ22" s="224">
        <v>245693</v>
      </c>
      <c r="AR22" s="224">
        <v>469671</v>
      </c>
      <c r="AS22" s="224">
        <v>130871</v>
      </c>
      <c r="AT22" s="224">
        <v>91064</v>
      </c>
      <c r="AU22" s="224">
        <v>217762</v>
      </c>
      <c r="AV22" s="224">
        <v>6081</v>
      </c>
      <c r="AW22" s="224">
        <v>72910</v>
      </c>
      <c r="AX22" s="224">
        <v>4793</v>
      </c>
      <c r="AY22" s="224">
        <v>58951</v>
      </c>
      <c r="AZ22" s="224">
        <v>10730</v>
      </c>
      <c r="BA22" s="224">
        <v>217846</v>
      </c>
      <c r="BB22" s="224">
        <v>228492</v>
      </c>
      <c r="BC22" s="225">
        <v>41828.120000000003</v>
      </c>
      <c r="BD22" s="225">
        <v>25224.67</v>
      </c>
      <c r="BE22">
        <v>399.1</v>
      </c>
      <c r="BF22" s="225">
        <v>1520.19</v>
      </c>
      <c r="BG22" s="224">
        <v>36230</v>
      </c>
      <c r="BH22">
        <v>0</v>
      </c>
      <c r="BI22" s="224">
        <v>31125</v>
      </c>
      <c r="BJ22" s="224">
        <v>41508</v>
      </c>
      <c r="BK22" s="224">
        <v>7032</v>
      </c>
      <c r="BL22" s="224">
        <v>11500</v>
      </c>
      <c r="BM22" s="224">
        <v>13000</v>
      </c>
      <c r="BN22">
        <v>850</v>
      </c>
      <c r="BO22" s="224">
        <v>12000</v>
      </c>
      <c r="BP22">
        <v>900</v>
      </c>
      <c r="BQ22">
        <v>75</v>
      </c>
      <c r="BR22">
        <v>7</v>
      </c>
      <c r="BS22">
        <v>19</v>
      </c>
      <c r="BT22">
        <v>45</v>
      </c>
      <c r="BU22">
        <v>43</v>
      </c>
      <c r="BV22">
        <v>66</v>
      </c>
      <c r="BW22" s="224">
        <v>9500</v>
      </c>
      <c r="BX22" s="224">
        <v>1100</v>
      </c>
      <c r="BY22">
        <v>550</v>
      </c>
      <c r="BZ22" s="224">
        <v>1900</v>
      </c>
      <c r="CA22">
        <v>19.100000000000001</v>
      </c>
      <c r="CB22">
        <v>19.100000000000001</v>
      </c>
      <c r="CC22">
        <v>19.100000000000001</v>
      </c>
      <c r="CD22">
        <v>81.5</v>
      </c>
      <c r="CE22">
        <v>80</v>
      </c>
      <c r="CF22">
        <v>6.9</v>
      </c>
      <c r="CG22">
        <v>7.1</v>
      </c>
      <c r="CH22">
        <v>71.2</v>
      </c>
      <c r="CI22">
        <v>76.7</v>
      </c>
      <c r="CJ22">
        <v>97.8</v>
      </c>
      <c r="CK22" s="224">
        <v>1715</v>
      </c>
      <c r="CL22" s="224">
        <v>1725</v>
      </c>
    </row>
    <row r="23" spans="1:90" ht="14.5">
      <c r="A23" t="s">
        <v>137</v>
      </c>
      <c r="B23" t="s">
        <v>138</v>
      </c>
      <c r="C23" t="s">
        <v>139</v>
      </c>
      <c r="D23" s="224">
        <v>254199</v>
      </c>
      <c r="E23" s="224">
        <v>263705</v>
      </c>
      <c r="F23" s="224">
        <v>197463</v>
      </c>
      <c r="G23" s="224">
        <v>202339</v>
      </c>
      <c r="H23" s="224">
        <v>56736</v>
      </c>
      <c r="I23" s="224">
        <v>61366</v>
      </c>
      <c r="J23" s="224">
        <v>8598</v>
      </c>
      <c r="K23" s="224">
        <v>9373</v>
      </c>
      <c r="L23">
        <v>7.7</v>
      </c>
      <c r="M23">
        <v>81.900000000000006</v>
      </c>
      <c r="N23">
        <v>85.7</v>
      </c>
      <c r="O23">
        <v>67.5</v>
      </c>
      <c r="P23">
        <v>67.7</v>
      </c>
      <c r="Q23">
        <v>715</v>
      </c>
      <c r="R23">
        <v>640</v>
      </c>
      <c r="S23" s="224">
        <v>45894</v>
      </c>
      <c r="T23">
        <v>13.9</v>
      </c>
      <c r="U23" s="224">
        <v>12538</v>
      </c>
      <c r="V23">
        <v>3.8</v>
      </c>
      <c r="W23" s="224">
        <v>25362</v>
      </c>
      <c r="X23">
        <v>4.5</v>
      </c>
      <c r="Y23">
        <v>1.5</v>
      </c>
      <c r="Z23">
        <v>2.1</v>
      </c>
      <c r="AA23" s="224">
        <v>1823</v>
      </c>
      <c r="AB23" s="224">
        <v>1920</v>
      </c>
      <c r="AC23" s="224">
        <v>4405</v>
      </c>
      <c r="AD23">
        <v>440</v>
      </c>
      <c r="AE23">
        <v>785</v>
      </c>
      <c r="AF23">
        <v>30</v>
      </c>
      <c r="AG23" t="s">
        <v>597</v>
      </c>
      <c r="AH23">
        <v>235</v>
      </c>
      <c r="AI23" s="224">
        <v>1830</v>
      </c>
      <c r="AJ23">
        <v>135</v>
      </c>
      <c r="AK23" t="s">
        <v>597</v>
      </c>
      <c r="AL23" s="224">
        <v>1540</v>
      </c>
      <c r="AM23" s="224">
        <v>2865</v>
      </c>
      <c r="AN23">
        <v>62.7</v>
      </c>
      <c r="AO23" s="224">
        <v>147875</v>
      </c>
      <c r="AP23" s="224">
        <v>154953</v>
      </c>
      <c r="AQ23" s="224">
        <v>130960</v>
      </c>
      <c r="AR23" s="224">
        <v>250243</v>
      </c>
      <c r="AS23" s="224">
        <v>73930</v>
      </c>
      <c r="AT23" s="224">
        <v>57855</v>
      </c>
      <c r="AU23" s="224">
        <v>122555</v>
      </c>
      <c r="AV23" s="224">
        <v>1004</v>
      </c>
      <c r="AW23" s="224">
        <v>49766</v>
      </c>
      <c r="AX23" s="224">
        <v>2708</v>
      </c>
      <c r="AY23" s="224">
        <v>36195</v>
      </c>
      <c r="AZ23" s="224">
        <v>3236</v>
      </c>
      <c r="BA23" s="224">
        <v>117523</v>
      </c>
      <c r="BB23" s="224">
        <v>125791</v>
      </c>
      <c r="BC23" s="225">
        <v>45027.27</v>
      </c>
      <c r="BD23" s="225">
        <v>19702.97</v>
      </c>
      <c r="BE23">
        <v>370.34</v>
      </c>
      <c r="BF23">
        <v>986.91</v>
      </c>
      <c r="BG23" s="224">
        <v>26925</v>
      </c>
      <c r="BH23">
        <v>0</v>
      </c>
      <c r="BI23" s="224">
        <v>20756</v>
      </c>
      <c r="BJ23" s="224">
        <v>33132</v>
      </c>
      <c r="BK23" s="224">
        <v>1011</v>
      </c>
      <c r="BL23" s="224">
        <v>5500</v>
      </c>
      <c r="BM23" s="224">
        <v>6400</v>
      </c>
      <c r="BN23">
        <v>425</v>
      </c>
      <c r="BO23" s="224">
        <v>6000</v>
      </c>
      <c r="BP23">
        <v>325</v>
      </c>
      <c r="BQ23">
        <v>85</v>
      </c>
      <c r="BR23">
        <v>6</v>
      </c>
      <c r="BS23">
        <v>40</v>
      </c>
      <c r="BT23">
        <v>39</v>
      </c>
      <c r="BU23">
        <v>46</v>
      </c>
      <c r="BV23">
        <v>32</v>
      </c>
      <c r="BW23" s="224">
        <v>4800</v>
      </c>
      <c r="BX23">
        <v>500</v>
      </c>
      <c r="BY23">
        <v>275</v>
      </c>
      <c r="BZ23">
        <v>800</v>
      </c>
      <c r="CA23">
        <v>19</v>
      </c>
      <c r="CB23">
        <v>19.8</v>
      </c>
      <c r="CC23">
        <v>18.399999999999999</v>
      </c>
      <c r="CD23">
        <v>72.5</v>
      </c>
      <c r="CE23">
        <v>67.400000000000006</v>
      </c>
      <c r="CF23">
        <v>7.2</v>
      </c>
      <c r="CG23">
        <v>7.2</v>
      </c>
      <c r="CH23">
        <v>76.099999999999994</v>
      </c>
      <c r="CI23">
        <v>76.8</v>
      </c>
      <c r="CJ23">
        <v>87</v>
      </c>
      <c r="CK23" s="224">
        <v>2980</v>
      </c>
      <c r="CL23" s="224">
        <v>2370</v>
      </c>
    </row>
    <row r="24" spans="1:90" ht="14.5">
      <c r="A24" t="s">
        <v>140</v>
      </c>
      <c r="B24" t="s">
        <v>141</v>
      </c>
      <c r="C24" t="s">
        <v>142</v>
      </c>
      <c r="D24" s="224">
        <v>410531</v>
      </c>
      <c r="E24" s="224">
        <v>453875</v>
      </c>
      <c r="F24" s="224">
        <v>314939</v>
      </c>
      <c r="G24" s="224">
        <v>340665</v>
      </c>
      <c r="H24" s="224">
        <v>95592</v>
      </c>
      <c r="I24" s="224">
        <v>113210</v>
      </c>
      <c r="J24" s="224">
        <v>12805</v>
      </c>
      <c r="K24" s="224">
        <v>17052</v>
      </c>
      <c r="L24">
        <v>7.5</v>
      </c>
      <c r="M24">
        <v>81.5</v>
      </c>
      <c r="N24">
        <v>85.5</v>
      </c>
      <c r="O24">
        <v>65.3</v>
      </c>
      <c r="P24">
        <v>66.900000000000006</v>
      </c>
      <c r="Q24" s="225">
        <v>1215</v>
      </c>
      <c r="R24" s="224">
        <v>1100</v>
      </c>
      <c r="S24" s="224">
        <v>74601</v>
      </c>
      <c r="T24">
        <v>13.5</v>
      </c>
      <c r="U24" s="224">
        <v>18422</v>
      </c>
      <c r="V24">
        <v>3.3</v>
      </c>
      <c r="W24" s="224">
        <v>41773</v>
      </c>
      <c r="X24">
        <v>4.5999999999999996</v>
      </c>
      <c r="Y24">
        <v>1.4</v>
      </c>
      <c r="Z24">
        <v>2</v>
      </c>
      <c r="AA24" s="224">
        <v>4731</v>
      </c>
      <c r="AB24" s="224">
        <v>4930</v>
      </c>
      <c r="AC24" s="224">
        <v>6515</v>
      </c>
      <c r="AD24">
        <v>945</v>
      </c>
      <c r="AE24" s="224">
        <v>1140</v>
      </c>
      <c r="AF24" t="s">
        <v>597</v>
      </c>
      <c r="AG24" t="s">
        <v>597</v>
      </c>
      <c r="AH24">
        <v>475</v>
      </c>
      <c r="AI24" s="224">
        <v>1960</v>
      </c>
      <c r="AJ24" t="s">
        <v>597</v>
      </c>
      <c r="AK24" t="s">
        <v>597</v>
      </c>
      <c r="AL24" s="224">
        <v>2495</v>
      </c>
      <c r="AM24" s="224">
        <v>4020</v>
      </c>
      <c r="AN24">
        <v>61.8</v>
      </c>
      <c r="AO24" s="224">
        <v>238222</v>
      </c>
      <c r="AP24" s="224">
        <v>254650</v>
      </c>
      <c r="AQ24" s="224">
        <v>239534</v>
      </c>
      <c r="AR24" s="224">
        <v>514397</v>
      </c>
      <c r="AS24" s="224">
        <v>119300</v>
      </c>
      <c r="AT24" s="224">
        <v>110522</v>
      </c>
      <c r="AU24" s="224">
        <v>215993</v>
      </c>
      <c r="AV24">
        <v>96</v>
      </c>
      <c r="AW24" s="224">
        <v>74927</v>
      </c>
      <c r="AX24">
        <v>552</v>
      </c>
      <c r="AY24" s="224">
        <v>78338</v>
      </c>
      <c r="AZ24">
        <v>564</v>
      </c>
      <c r="BA24" s="224">
        <v>206582</v>
      </c>
      <c r="BB24" s="224">
        <v>216557</v>
      </c>
      <c r="BC24" s="225">
        <v>45918.239999999998</v>
      </c>
      <c r="BD24" s="225">
        <v>25370.9</v>
      </c>
      <c r="BE24">
        <v>350.48</v>
      </c>
      <c r="BF24">
        <v>981.13</v>
      </c>
      <c r="BG24" s="224">
        <v>32240</v>
      </c>
      <c r="BH24">
        <v>0</v>
      </c>
      <c r="BI24" s="224">
        <v>13775</v>
      </c>
      <c r="BJ24" s="224">
        <v>19323</v>
      </c>
      <c r="BK24">
        <v>123</v>
      </c>
      <c r="BL24" s="224">
        <v>10500</v>
      </c>
      <c r="BM24" s="224">
        <v>12000</v>
      </c>
      <c r="BN24">
        <v>750</v>
      </c>
      <c r="BO24" s="224">
        <v>11500</v>
      </c>
      <c r="BP24">
        <v>500</v>
      </c>
      <c r="BQ24">
        <v>76</v>
      </c>
      <c r="BR24">
        <v>12</v>
      </c>
      <c r="BS24">
        <v>37</v>
      </c>
      <c r="BT24">
        <v>36</v>
      </c>
      <c r="BU24">
        <v>43</v>
      </c>
      <c r="BV24">
        <v>47</v>
      </c>
      <c r="BW24" s="224">
        <v>8900</v>
      </c>
      <c r="BX24" s="224">
        <v>1000</v>
      </c>
      <c r="BY24">
        <v>600</v>
      </c>
      <c r="BZ24" s="224">
        <v>1600</v>
      </c>
      <c r="CA24">
        <v>19</v>
      </c>
      <c r="CB24">
        <v>20.100000000000001</v>
      </c>
      <c r="CC24">
        <v>18</v>
      </c>
      <c r="CD24">
        <v>79.5</v>
      </c>
      <c r="CE24">
        <v>73.3</v>
      </c>
      <c r="CF24">
        <v>6.6</v>
      </c>
      <c r="CG24">
        <v>6.7</v>
      </c>
      <c r="CH24">
        <v>71.099999999999994</v>
      </c>
      <c r="CI24">
        <v>67.599999999999994</v>
      </c>
      <c r="CJ24">
        <v>70.3</v>
      </c>
      <c r="CK24">
        <v>745</v>
      </c>
      <c r="CL24">
        <v>750</v>
      </c>
    </row>
    <row r="25" spans="1:90" ht="14.5">
      <c r="A25" t="s">
        <v>143</v>
      </c>
      <c r="B25" t="s">
        <v>144</v>
      </c>
      <c r="C25" t="s">
        <v>145</v>
      </c>
      <c r="D25" s="224">
        <v>146236</v>
      </c>
      <c r="E25" s="224">
        <v>154897</v>
      </c>
      <c r="F25" s="224">
        <v>112844</v>
      </c>
      <c r="G25" s="224">
        <v>117712</v>
      </c>
      <c r="H25" s="224">
        <v>33392</v>
      </c>
      <c r="I25" s="224">
        <v>37185</v>
      </c>
      <c r="J25" s="224">
        <v>3890</v>
      </c>
      <c r="K25" s="224">
        <v>4774</v>
      </c>
      <c r="L25">
        <v>8.6999999999999993</v>
      </c>
      <c r="M25">
        <v>78.099999999999994</v>
      </c>
      <c r="N25">
        <v>82</v>
      </c>
      <c r="O25">
        <v>57.4</v>
      </c>
      <c r="P25">
        <v>58.2</v>
      </c>
      <c r="Q25">
        <v>620</v>
      </c>
      <c r="R25">
        <v>555</v>
      </c>
      <c r="S25" s="224">
        <v>35886</v>
      </c>
      <c r="T25">
        <v>18.5</v>
      </c>
      <c r="U25" s="224">
        <v>10775</v>
      </c>
      <c r="V25">
        <v>5.6</v>
      </c>
      <c r="W25" s="224">
        <v>16876</v>
      </c>
      <c r="X25">
        <v>4.5</v>
      </c>
      <c r="Y25">
        <v>2</v>
      </c>
      <c r="Z25">
        <v>2.8</v>
      </c>
      <c r="AA25" s="224">
        <v>1602</v>
      </c>
      <c r="AB25" s="224">
        <v>1608</v>
      </c>
      <c r="AC25" s="224">
        <v>3595</v>
      </c>
      <c r="AD25">
        <v>430</v>
      </c>
      <c r="AE25">
        <v>745</v>
      </c>
      <c r="AF25" t="s">
        <v>597</v>
      </c>
      <c r="AG25" t="s">
        <v>597</v>
      </c>
      <c r="AH25">
        <v>160</v>
      </c>
      <c r="AI25" s="224">
        <v>1130</v>
      </c>
      <c r="AJ25" t="s">
        <v>597</v>
      </c>
      <c r="AK25" t="s">
        <v>597</v>
      </c>
      <c r="AL25" s="224">
        <v>1345</v>
      </c>
      <c r="AM25" s="224">
        <v>2250</v>
      </c>
      <c r="AN25">
        <v>64.3</v>
      </c>
      <c r="AO25" s="224">
        <v>110788</v>
      </c>
      <c r="AP25" s="224">
        <v>119460</v>
      </c>
      <c r="AQ25" s="224">
        <v>98814</v>
      </c>
      <c r="AR25" s="224">
        <v>212780</v>
      </c>
      <c r="AS25" s="224">
        <v>46344</v>
      </c>
      <c r="AT25" s="224">
        <v>50925</v>
      </c>
      <c r="AU25" s="224">
        <v>92846</v>
      </c>
      <c r="AV25">
        <v>64</v>
      </c>
      <c r="AW25" s="224">
        <v>28795</v>
      </c>
      <c r="AX25">
        <v>927</v>
      </c>
      <c r="AY25" s="224">
        <v>29730</v>
      </c>
      <c r="AZ25">
        <v>195</v>
      </c>
      <c r="BA25" s="224">
        <v>84472</v>
      </c>
      <c r="BB25" s="224">
        <v>93041</v>
      </c>
      <c r="BC25" s="225">
        <v>34417.839999999997</v>
      </c>
      <c r="BD25" s="225">
        <v>20777.330000000002</v>
      </c>
      <c r="BE25">
        <v>394.25</v>
      </c>
      <c r="BF25" s="225">
        <v>1394.43</v>
      </c>
      <c r="BG25" s="224">
        <v>21306</v>
      </c>
      <c r="BH25" s="224">
        <v>14420</v>
      </c>
      <c r="BI25" s="224">
        <v>13469</v>
      </c>
      <c r="BJ25" s="224">
        <v>14595</v>
      </c>
      <c r="BK25" s="224">
        <v>4071</v>
      </c>
      <c r="BL25" s="224">
        <v>4300</v>
      </c>
      <c r="BM25" s="224">
        <v>4700</v>
      </c>
      <c r="BN25">
        <v>325</v>
      </c>
      <c r="BO25" s="224">
        <v>4200</v>
      </c>
      <c r="BP25">
        <v>475</v>
      </c>
      <c r="BQ25">
        <v>82</v>
      </c>
      <c r="BR25">
        <v>5</v>
      </c>
      <c r="BS25">
        <v>16</v>
      </c>
      <c r="BT25">
        <v>45</v>
      </c>
      <c r="BU25">
        <v>46</v>
      </c>
      <c r="BV25">
        <v>77</v>
      </c>
      <c r="BW25" s="224">
        <v>3300</v>
      </c>
      <c r="BX25">
        <v>400</v>
      </c>
      <c r="BY25">
        <v>250</v>
      </c>
      <c r="BZ25">
        <v>700</v>
      </c>
      <c r="CA25">
        <v>19.100000000000001</v>
      </c>
      <c r="CB25">
        <v>19.7</v>
      </c>
      <c r="CC25">
        <v>18.5</v>
      </c>
      <c r="CD25">
        <v>77.3</v>
      </c>
      <c r="CE25">
        <v>74.8</v>
      </c>
      <c r="CF25">
        <v>7.3</v>
      </c>
      <c r="CG25">
        <v>7.7</v>
      </c>
      <c r="CH25">
        <v>70.7</v>
      </c>
      <c r="CI25">
        <v>71</v>
      </c>
      <c r="CJ25">
        <v>88</v>
      </c>
      <c r="CK25">
        <v>825</v>
      </c>
      <c r="CL25">
        <v>950</v>
      </c>
    </row>
    <row r="26" spans="1:90" ht="14.5">
      <c r="A26" t="s">
        <v>146</v>
      </c>
      <c r="B26" t="s">
        <v>147</v>
      </c>
      <c r="C26" t="s">
        <v>148</v>
      </c>
      <c r="D26" s="224">
        <v>161368</v>
      </c>
      <c r="E26" s="224">
        <v>166322</v>
      </c>
      <c r="F26" s="224">
        <v>124644</v>
      </c>
      <c r="G26" s="224">
        <v>124137</v>
      </c>
      <c r="H26" s="224">
        <v>36724</v>
      </c>
      <c r="I26" s="224">
        <v>42185</v>
      </c>
      <c r="J26" s="224">
        <v>4584</v>
      </c>
      <c r="K26" s="224">
        <v>4920</v>
      </c>
      <c r="L26">
        <v>8.6999999999999993</v>
      </c>
      <c r="M26">
        <v>78.2</v>
      </c>
      <c r="N26">
        <v>82.5</v>
      </c>
      <c r="O26">
        <v>60.2</v>
      </c>
      <c r="P26">
        <v>60.9</v>
      </c>
      <c r="Q26">
        <v>575</v>
      </c>
      <c r="R26">
        <v>510</v>
      </c>
      <c r="S26" s="224">
        <v>37860</v>
      </c>
      <c r="T26">
        <v>18.3</v>
      </c>
      <c r="U26" s="224">
        <v>11752</v>
      </c>
      <c r="V26">
        <v>5.7</v>
      </c>
      <c r="W26" s="224">
        <v>17977</v>
      </c>
      <c r="X26">
        <v>4.7</v>
      </c>
      <c r="Y26">
        <v>1.9</v>
      </c>
      <c r="Z26">
        <v>2.6</v>
      </c>
      <c r="AA26" s="224">
        <v>1292</v>
      </c>
      <c r="AB26" s="224">
        <v>1347</v>
      </c>
      <c r="AC26" s="224">
        <v>3210</v>
      </c>
      <c r="AD26">
        <v>445</v>
      </c>
      <c r="AE26" t="s">
        <v>597</v>
      </c>
      <c r="AF26" t="s">
        <v>597</v>
      </c>
      <c r="AG26">
        <v>590</v>
      </c>
      <c r="AH26">
        <v>180</v>
      </c>
      <c r="AI26" t="s">
        <v>597</v>
      </c>
      <c r="AJ26" t="s">
        <v>597</v>
      </c>
      <c r="AK26" s="224">
        <v>1180</v>
      </c>
      <c r="AL26" s="224">
        <v>1155</v>
      </c>
      <c r="AM26" s="224">
        <v>2055</v>
      </c>
      <c r="AN26">
        <v>71.2</v>
      </c>
      <c r="AO26" s="224">
        <v>112047</v>
      </c>
      <c r="AP26" s="224">
        <v>123438</v>
      </c>
      <c r="AQ26" s="224">
        <v>104723</v>
      </c>
      <c r="AR26" s="224">
        <v>210128</v>
      </c>
      <c r="AS26" s="224">
        <v>52384</v>
      </c>
      <c r="AT26" s="224">
        <v>51352</v>
      </c>
      <c r="AU26" s="224">
        <v>95117</v>
      </c>
      <c r="AV26">
        <v>711</v>
      </c>
      <c r="AW26" s="224">
        <v>33740</v>
      </c>
      <c r="AX26">
        <v>236</v>
      </c>
      <c r="AY26" s="224">
        <v>35280</v>
      </c>
      <c r="AZ26" s="224">
        <v>1063</v>
      </c>
      <c r="BA26" s="224">
        <v>90487</v>
      </c>
      <c r="BB26" s="224">
        <v>96180</v>
      </c>
      <c r="BC26" s="225">
        <v>42047.62</v>
      </c>
      <c r="BD26" s="225">
        <v>23170.32</v>
      </c>
      <c r="BE26">
        <v>427.71</v>
      </c>
      <c r="BF26" s="225">
        <v>1222.9000000000001</v>
      </c>
      <c r="BG26" s="224">
        <v>18621</v>
      </c>
      <c r="BH26">
        <v>0</v>
      </c>
      <c r="BI26" s="224">
        <v>11673</v>
      </c>
      <c r="BJ26" s="224">
        <v>26550</v>
      </c>
      <c r="BK26">
        <v>0</v>
      </c>
      <c r="BL26" s="224">
        <v>4500</v>
      </c>
      <c r="BM26" s="224">
        <v>4900</v>
      </c>
      <c r="BN26">
        <v>225</v>
      </c>
      <c r="BO26" s="224">
        <v>4300</v>
      </c>
      <c r="BP26">
        <v>600</v>
      </c>
      <c r="BQ26">
        <v>82</v>
      </c>
      <c r="BR26">
        <v>2</v>
      </c>
      <c r="BS26">
        <v>12</v>
      </c>
      <c r="BT26">
        <v>44</v>
      </c>
      <c r="BU26">
        <v>44</v>
      </c>
      <c r="BV26">
        <v>77</v>
      </c>
      <c r="BW26" s="224">
        <v>3600</v>
      </c>
      <c r="BX26">
        <v>500</v>
      </c>
      <c r="BY26">
        <v>200</v>
      </c>
      <c r="BZ26">
        <v>650</v>
      </c>
      <c r="CA26">
        <v>19.7</v>
      </c>
      <c r="CB26">
        <v>20.5</v>
      </c>
      <c r="CC26">
        <v>19.100000000000001</v>
      </c>
      <c r="CD26">
        <v>79.7</v>
      </c>
      <c r="CE26">
        <v>74.3</v>
      </c>
      <c r="CF26">
        <v>6.9</v>
      </c>
      <c r="CG26">
        <v>6.8</v>
      </c>
      <c r="CH26">
        <v>78.099999999999994</v>
      </c>
      <c r="CI26">
        <v>75.099999999999994</v>
      </c>
      <c r="CJ26">
        <v>83.7</v>
      </c>
      <c r="CK26">
        <v>510</v>
      </c>
      <c r="CL26">
        <v>520</v>
      </c>
    </row>
    <row r="27" spans="1:90" ht="14.5">
      <c r="A27" t="s">
        <v>149</v>
      </c>
      <c r="B27" t="s">
        <v>150</v>
      </c>
      <c r="C27" t="s">
        <v>151</v>
      </c>
      <c r="D27" s="224">
        <v>519584</v>
      </c>
      <c r="E27" s="224">
        <v>577045</v>
      </c>
      <c r="F27" s="224">
        <v>404027</v>
      </c>
      <c r="G27" s="224">
        <v>438896</v>
      </c>
      <c r="H27" s="224">
        <v>115557</v>
      </c>
      <c r="I27" s="224">
        <v>138149</v>
      </c>
      <c r="J27" s="224">
        <v>15590</v>
      </c>
      <c r="K27" s="224">
        <v>19060</v>
      </c>
      <c r="L27">
        <v>7.7</v>
      </c>
      <c r="M27">
        <v>81</v>
      </c>
      <c r="N27">
        <v>84.2</v>
      </c>
      <c r="O27">
        <v>62.3</v>
      </c>
      <c r="P27">
        <v>61.5</v>
      </c>
      <c r="Q27" s="225">
        <v>1610</v>
      </c>
      <c r="R27" s="224">
        <v>1410</v>
      </c>
      <c r="S27" s="224">
        <v>109908</v>
      </c>
      <c r="T27">
        <v>16.2</v>
      </c>
      <c r="U27" s="224">
        <v>28100</v>
      </c>
      <c r="V27">
        <v>4.0999999999999996</v>
      </c>
      <c r="W27" s="224">
        <v>52236</v>
      </c>
      <c r="X27">
        <v>4.5</v>
      </c>
      <c r="Y27">
        <v>1.4</v>
      </c>
      <c r="Z27">
        <v>2.2000000000000002</v>
      </c>
      <c r="AA27" s="224">
        <v>5430</v>
      </c>
      <c r="AB27" s="224">
        <v>5694</v>
      </c>
      <c r="AC27" s="224">
        <v>8415</v>
      </c>
      <c r="AD27">
        <v>665</v>
      </c>
      <c r="AE27" s="224">
        <v>1730</v>
      </c>
      <c r="AF27">
        <v>45</v>
      </c>
      <c r="AG27" t="s">
        <v>597</v>
      </c>
      <c r="AH27">
        <v>240</v>
      </c>
      <c r="AI27" s="224">
        <v>2210</v>
      </c>
      <c r="AJ27">
        <v>710</v>
      </c>
      <c r="AK27" t="s">
        <v>597</v>
      </c>
      <c r="AL27" s="224">
        <v>2785</v>
      </c>
      <c r="AM27" s="224">
        <v>5630</v>
      </c>
      <c r="AN27">
        <v>66</v>
      </c>
      <c r="AO27" s="224">
        <v>320389</v>
      </c>
      <c r="AP27" s="224">
        <v>339058</v>
      </c>
      <c r="AQ27" s="224">
        <v>285012</v>
      </c>
      <c r="AR27" s="224">
        <v>549808</v>
      </c>
      <c r="AS27" s="224">
        <v>136886</v>
      </c>
      <c r="AT27" s="224">
        <v>138282</v>
      </c>
      <c r="AU27" s="224">
        <v>243652</v>
      </c>
      <c r="AV27">
        <v>169</v>
      </c>
      <c r="AW27" s="224">
        <v>85454</v>
      </c>
      <c r="AX27">
        <v>262</v>
      </c>
      <c r="AY27" s="224">
        <v>87346</v>
      </c>
      <c r="AZ27" s="224">
        <v>4034</v>
      </c>
      <c r="BA27" s="224">
        <v>234063</v>
      </c>
      <c r="BB27" s="224">
        <v>247686</v>
      </c>
      <c r="BC27" s="225">
        <v>40387.07</v>
      </c>
      <c r="BD27" s="225">
        <v>24015.63</v>
      </c>
      <c r="BE27">
        <v>312.27</v>
      </c>
      <c r="BF27" s="225">
        <v>1002.86</v>
      </c>
      <c r="BG27" s="224">
        <v>54058</v>
      </c>
      <c r="BH27">
        <v>243</v>
      </c>
      <c r="BI27" s="224">
        <v>21977</v>
      </c>
      <c r="BJ27" s="224">
        <v>27426</v>
      </c>
      <c r="BK27" s="224">
        <v>1928</v>
      </c>
      <c r="BL27" s="224">
        <v>14000</v>
      </c>
      <c r="BM27" s="224">
        <v>15000</v>
      </c>
      <c r="BN27" s="224">
        <v>1200</v>
      </c>
      <c r="BO27" s="224">
        <v>14000</v>
      </c>
      <c r="BP27" s="224">
        <v>1200</v>
      </c>
      <c r="BQ27">
        <v>75</v>
      </c>
      <c r="BR27">
        <v>11</v>
      </c>
      <c r="BS27">
        <v>28</v>
      </c>
      <c r="BT27">
        <v>34</v>
      </c>
      <c r="BU27">
        <v>44</v>
      </c>
      <c r="BV27">
        <v>66</v>
      </c>
      <c r="BW27" s="224">
        <v>11000</v>
      </c>
      <c r="BX27" s="224">
        <v>1300</v>
      </c>
      <c r="BY27">
        <v>700</v>
      </c>
      <c r="BZ27" s="224">
        <v>2200</v>
      </c>
      <c r="CA27">
        <v>19.100000000000001</v>
      </c>
      <c r="CB27">
        <v>19.899999999999999</v>
      </c>
      <c r="CC27">
        <v>18.600000000000001</v>
      </c>
      <c r="CD27">
        <v>80.2</v>
      </c>
      <c r="CE27">
        <v>75.7</v>
      </c>
      <c r="CF27">
        <v>7.5</v>
      </c>
      <c r="CG27">
        <v>7.5</v>
      </c>
      <c r="CH27">
        <v>70.400000000000006</v>
      </c>
      <c r="CI27">
        <v>69.5</v>
      </c>
      <c r="CJ27">
        <v>91.8</v>
      </c>
      <c r="CK27" s="224">
        <v>3245</v>
      </c>
      <c r="CL27" s="224">
        <v>3095</v>
      </c>
    </row>
    <row r="28" spans="1:90" ht="14.5">
      <c r="A28" t="s">
        <v>152</v>
      </c>
      <c r="B28" t="s">
        <v>153</v>
      </c>
      <c r="C28" t="s">
        <v>154</v>
      </c>
      <c r="D28" s="224">
        <v>181210</v>
      </c>
      <c r="E28" s="224">
        <v>183966</v>
      </c>
      <c r="F28" s="224">
        <v>155975</v>
      </c>
      <c r="G28" s="224">
        <v>156806</v>
      </c>
      <c r="H28" s="224">
        <v>25235</v>
      </c>
      <c r="I28" s="224">
        <v>27160</v>
      </c>
      <c r="J28" s="224">
        <v>3416</v>
      </c>
      <c r="K28" s="224">
        <v>3370</v>
      </c>
      <c r="L28">
        <v>6.9</v>
      </c>
      <c r="M28">
        <v>80.7</v>
      </c>
      <c r="N28">
        <v>85.9</v>
      </c>
      <c r="O28">
        <v>59.8</v>
      </c>
      <c r="P28">
        <v>59.4</v>
      </c>
      <c r="Q28">
        <v>495</v>
      </c>
      <c r="R28">
        <v>435</v>
      </c>
      <c r="S28" s="224">
        <v>31882</v>
      </c>
      <c r="T28">
        <v>15.2</v>
      </c>
      <c r="U28" s="224">
        <v>10670</v>
      </c>
      <c r="V28">
        <v>5.0999999999999996</v>
      </c>
      <c r="W28" s="224">
        <v>14605</v>
      </c>
      <c r="X28">
        <v>3.9</v>
      </c>
      <c r="Y28">
        <v>1.6</v>
      </c>
      <c r="Z28">
        <v>1.8</v>
      </c>
      <c r="AA28">
        <v>523</v>
      </c>
      <c r="AB28">
        <v>510</v>
      </c>
      <c r="AC28" s="224">
        <v>3600</v>
      </c>
      <c r="AD28">
        <v>415</v>
      </c>
      <c r="AE28" t="s">
        <v>597</v>
      </c>
      <c r="AF28">
        <v>895</v>
      </c>
      <c r="AG28" t="s">
        <v>597</v>
      </c>
      <c r="AH28">
        <v>285</v>
      </c>
      <c r="AI28" t="s">
        <v>597</v>
      </c>
      <c r="AJ28" s="224">
        <v>1255</v>
      </c>
      <c r="AK28" t="s">
        <v>597</v>
      </c>
      <c r="AL28" s="224">
        <v>1460</v>
      </c>
      <c r="AM28" s="224">
        <v>2140</v>
      </c>
      <c r="AN28">
        <v>62.7</v>
      </c>
      <c r="AO28" s="224">
        <v>144575</v>
      </c>
      <c r="AP28" s="224">
        <v>172017</v>
      </c>
      <c r="AQ28" s="224">
        <v>155842</v>
      </c>
      <c r="AR28" s="224">
        <v>320585</v>
      </c>
      <c r="AS28" s="224">
        <v>56858</v>
      </c>
      <c r="AT28" s="224">
        <v>60583</v>
      </c>
      <c r="AU28" s="224">
        <v>99706</v>
      </c>
      <c r="AV28">
        <v>105</v>
      </c>
      <c r="AW28" s="224">
        <v>26898</v>
      </c>
      <c r="AX28">
        <v>546</v>
      </c>
      <c r="AY28" s="224">
        <v>33785</v>
      </c>
      <c r="AZ28">
        <v>193</v>
      </c>
      <c r="BA28" s="224">
        <v>91156</v>
      </c>
      <c r="BB28" s="224">
        <v>99899</v>
      </c>
      <c r="BC28" s="225">
        <v>33064.379999999997</v>
      </c>
      <c r="BD28" s="225">
        <v>24123.83</v>
      </c>
      <c r="BE28">
        <v>363.27</v>
      </c>
      <c r="BF28" s="225">
        <v>2250.6999999999998</v>
      </c>
      <c r="BG28" s="224">
        <v>15475</v>
      </c>
      <c r="BH28">
        <v>0</v>
      </c>
      <c r="BI28" s="224">
        <v>15117</v>
      </c>
      <c r="BJ28" s="224">
        <v>18297</v>
      </c>
      <c r="BK28" s="224">
        <v>4240</v>
      </c>
      <c r="BL28" s="224">
        <v>5600</v>
      </c>
      <c r="BM28" s="224">
        <v>6600</v>
      </c>
      <c r="BN28">
        <v>900</v>
      </c>
      <c r="BO28" s="224">
        <v>6000</v>
      </c>
      <c r="BP28">
        <v>650</v>
      </c>
      <c r="BQ28">
        <v>78</v>
      </c>
      <c r="BR28">
        <v>10</v>
      </c>
      <c r="BS28">
        <v>37</v>
      </c>
      <c r="BT28">
        <v>38</v>
      </c>
      <c r="BU28">
        <v>45</v>
      </c>
      <c r="BV28">
        <v>30</v>
      </c>
      <c r="BW28" s="224">
        <v>4700</v>
      </c>
      <c r="BX28">
        <v>700</v>
      </c>
      <c r="BY28">
        <v>250</v>
      </c>
      <c r="BZ28">
        <v>900</v>
      </c>
      <c r="CA28">
        <v>18.600000000000001</v>
      </c>
      <c r="CB28">
        <v>18.8</v>
      </c>
      <c r="CC28">
        <v>18.399999999999999</v>
      </c>
      <c r="CD28">
        <v>74.099999999999994</v>
      </c>
      <c r="CE28">
        <v>72.599999999999994</v>
      </c>
      <c r="CF28">
        <v>6.9</v>
      </c>
      <c r="CG28">
        <v>7.3</v>
      </c>
      <c r="CH28">
        <v>64.5</v>
      </c>
      <c r="CI28">
        <v>64.400000000000006</v>
      </c>
      <c r="CJ28">
        <v>60</v>
      </c>
      <c r="CK28" s="224">
        <v>1165</v>
      </c>
      <c r="CL28" s="224">
        <v>1415</v>
      </c>
    </row>
    <row r="29" spans="1:90" ht="14.5">
      <c r="A29" t="s">
        <v>155</v>
      </c>
      <c r="B29" t="s">
        <v>156</v>
      </c>
      <c r="C29" t="s">
        <v>157</v>
      </c>
      <c r="D29" s="224">
        <v>211977</v>
      </c>
      <c r="E29" s="224">
        <v>250791</v>
      </c>
      <c r="F29" s="224">
        <v>165065</v>
      </c>
      <c r="G29" s="224">
        <v>191474</v>
      </c>
      <c r="H29" s="224">
        <v>46912</v>
      </c>
      <c r="I29" s="224">
        <v>59317</v>
      </c>
      <c r="J29" s="224">
        <v>5309</v>
      </c>
      <c r="K29" s="224">
        <v>7470</v>
      </c>
      <c r="L29">
        <v>8</v>
      </c>
      <c r="M29">
        <v>80.599999999999994</v>
      </c>
      <c r="N29">
        <v>84.2</v>
      </c>
      <c r="O29">
        <v>61.5</v>
      </c>
      <c r="P29">
        <v>60.9</v>
      </c>
      <c r="Q29">
        <v>710</v>
      </c>
      <c r="R29">
        <v>640</v>
      </c>
      <c r="S29" s="224">
        <v>44032</v>
      </c>
      <c r="T29">
        <v>15</v>
      </c>
      <c r="U29" s="224">
        <v>11224</v>
      </c>
      <c r="V29">
        <v>3.8</v>
      </c>
      <c r="W29" s="224">
        <v>23551</v>
      </c>
      <c r="X29">
        <v>4.7</v>
      </c>
      <c r="Y29">
        <v>1.5</v>
      </c>
      <c r="Z29">
        <v>2.2999999999999998</v>
      </c>
      <c r="AA29" s="224">
        <v>2098</v>
      </c>
      <c r="AB29" s="224">
        <v>2148</v>
      </c>
      <c r="AC29" s="224">
        <v>4430</v>
      </c>
      <c r="AD29">
        <v>290</v>
      </c>
      <c r="AE29">
        <v>830</v>
      </c>
      <c r="AF29" t="s">
        <v>597</v>
      </c>
      <c r="AG29">
        <v>50</v>
      </c>
      <c r="AH29">
        <v>120</v>
      </c>
      <c r="AI29" s="224">
        <v>1430</v>
      </c>
      <c r="AJ29" t="s">
        <v>597</v>
      </c>
      <c r="AK29">
        <v>455</v>
      </c>
      <c r="AL29" s="224">
        <v>1350</v>
      </c>
      <c r="AM29" s="224">
        <v>3080</v>
      </c>
      <c r="AN29">
        <v>66.5</v>
      </c>
      <c r="AO29" s="224">
        <v>149047</v>
      </c>
      <c r="AP29" s="224">
        <v>161035</v>
      </c>
      <c r="AQ29" s="224">
        <v>133406</v>
      </c>
      <c r="AR29" s="224">
        <v>231797</v>
      </c>
      <c r="AS29" s="224">
        <v>61472</v>
      </c>
      <c r="AT29" s="224">
        <v>62035</v>
      </c>
      <c r="AU29" s="224">
        <v>112332</v>
      </c>
      <c r="AV29">
        <v>265</v>
      </c>
      <c r="AW29" s="224">
        <v>41193</v>
      </c>
      <c r="AX29" s="224">
        <v>2314</v>
      </c>
      <c r="AY29" s="224">
        <v>42670</v>
      </c>
      <c r="AZ29" s="224">
        <v>2031</v>
      </c>
      <c r="BA29" s="224">
        <v>110728</v>
      </c>
      <c r="BB29" s="224">
        <v>114363</v>
      </c>
      <c r="BC29" s="225">
        <v>41565.93</v>
      </c>
      <c r="BD29" s="225">
        <v>18912.009999999998</v>
      </c>
      <c r="BE29">
        <v>322.43</v>
      </c>
      <c r="BF29" s="225">
        <v>1084.83</v>
      </c>
      <c r="BG29" s="224">
        <v>27629</v>
      </c>
      <c r="BH29">
        <v>0</v>
      </c>
      <c r="BI29" s="224">
        <v>9066</v>
      </c>
      <c r="BJ29" s="224">
        <v>10556</v>
      </c>
      <c r="BK29">
        <v>74</v>
      </c>
      <c r="BL29" s="224">
        <v>4600</v>
      </c>
      <c r="BM29" s="224">
        <v>5100</v>
      </c>
      <c r="BN29">
        <v>275</v>
      </c>
      <c r="BO29" s="224">
        <v>4400</v>
      </c>
      <c r="BP29">
        <v>650</v>
      </c>
      <c r="BQ29">
        <v>79</v>
      </c>
      <c r="BR29">
        <v>8</v>
      </c>
      <c r="BS29">
        <v>33</v>
      </c>
      <c r="BT29">
        <v>33</v>
      </c>
      <c r="BU29">
        <v>43</v>
      </c>
      <c r="BV29">
        <v>54</v>
      </c>
      <c r="BW29" s="224">
        <v>3600</v>
      </c>
      <c r="BX29">
        <v>400</v>
      </c>
      <c r="BY29">
        <v>300</v>
      </c>
      <c r="BZ29">
        <v>750</v>
      </c>
      <c r="CA29">
        <v>19.5</v>
      </c>
      <c r="CB29">
        <v>20.100000000000001</v>
      </c>
      <c r="CC29">
        <v>19.2</v>
      </c>
      <c r="CD29">
        <v>81.099999999999994</v>
      </c>
      <c r="CE29">
        <v>77.3</v>
      </c>
      <c r="CF29">
        <v>7.2</v>
      </c>
      <c r="CG29">
        <v>7.4</v>
      </c>
      <c r="CH29">
        <v>75</v>
      </c>
      <c r="CI29">
        <v>74.599999999999994</v>
      </c>
      <c r="CJ29">
        <v>75.400000000000006</v>
      </c>
      <c r="CK29" s="224">
        <v>1305</v>
      </c>
      <c r="CL29" s="224">
        <v>1365</v>
      </c>
    </row>
    <row r="30" spans="1:90" ht="14.5">
      <c r="A30" t="s">
        <v>158</v>
      </c>
      <c r="B30" t="s">
        <v>159</v>
      </c>
      <c r="C30" t="s">
        <v>160</v>
      </c>
      <c r="D30" s="224">
        <v>303552</v>
      </c>
      <c r="E30" s="224">
        <v>342691</v>
      </c>
      <c r="F30" s="224">
        <v>221748</v>
      </c>
      <c r="G30" s="224">
        <v>245155</v>
      </c>
      <c r="H30" s="224">
        <v>81804</v>
      </c>
      <c r="I30" s="224">
        <v>97536</v>
      </c>
      <c r="J30" s="224">
        <v>11087</v>
      </c>
      <c r="K30" s="224">
        <v>13904</v>
      </c>
      <c r="L30">
        <v>8.6</v>
      </c>
      <c r="M30">
        <v>80.2</v>
      </c>
      <c r="N30">
        <v>83.8</v>
      </c>
      <c r="O30">
        <v>64.5</v>
      </c>
      <c r="P30">
        <v>66</v>
      </c>
      <c r="Q30" s="225">
        <v>1020</v>
      </c>
      <c r="R30">
        <v>885</v>
      </c>
      <c r="S30" s="224">
        <v>67819</v>
      </c>
      <c r="T30">
        <v>17</v>
      </c>
      <c r="U30" s="224">
        <v>18756</v>
      </c>
      <c r="V30">
        <v>4.7</v>
      </c>
      <c r="W30" s="224">
        <v>34456</v>
      </c>
      <c r="X30">
        <v>4.9000000000000004</v>
      </c>
      <c r="Y30">
        <v>1.6</v>
      </c>
      <c r="Z30">
        <v>2.5</v>
      </c>
      <c r="AA30" s="224">
        <v>4790</v>
      </c>
      <c r="AB30" s="224">
        <v>4963</v>
      </c>
      <c r="AC30" s="224">
        <v>5980</v>
      </c>
      <c r="AD30">
        <v>410</v>
      </c>
      <c r="AE30" s="224">
        <v>1210</v>
      </c>
      <c r="AF30" t="s">
        <v>597</v>
      </c>
      <c r="AG30" t="s">
        <v>597</v>
      </c>
      <c r="AH30">
        <v>110</v>
      </c>
      <c r="AI30" s="224">
        <v>2045</v>
      </c>
      <c r="AJ30">
        <v>115</v>
      </c>
      <c r="AK30" t="s">
        <v>597</v>
      </c>
      <c r="AL30" s="224">
        <v>1835</v>
      </c>
      <c r="AM30" s="224">
        <v>4145</v>
      </c>
      <c r="AN30">
        <v>64.7</v>
      </c>
      <c r="AO30" s="224">
        <v>200584</v>
      </c>
      <c r="AP30" s="224">
        <v>236207</v>
      </c>
      <c r="AQ30" s="224">
        <v>201175</v>
      </c>
      <c r="AR30" s="224">
        <v>387770</v>
      </c>
      <c r="AS30" s="224">
        <v>98422</v>
      </c>
      <c r="AT30" s="224">
        <v>103710</v>
      </c>
      <c r="AU30" s="224">
        <v>175566</v>
      </c>
      <c r="AV30" s="224">
        <v>1790</v>
      </c>
      <c r="AW30" s="224">
        <v>63959</v>
      </c>
      <c r="AX30" s="224">
        <v>4615</v>
      </c>
      <c r="AY30" s="224">
        <v>50391</v>
      </c>
      <c r="AZ30" s="224">
        <v>5079</v>
      </c>
      <c r="BA30" s="224">
        <v>173176</v>
      </c>
      <c r="BB30" s="224">
        <v>180645</v>
      </c>
      <c r="BC30" s="225">
        <v>47704.63</v>
      </c>
      <c r="BD30" s="225">
        <v>22462.48</v>
      </c>
      <c r="BE30">
        <v>408.77</v>
      </c>
      <c r="BF30" s="225">
        <v>1110.6199999999999</v>
      </c>
      <c r="BG30" s="224">
        <v>44343</v>
      </c>
      <c r="BH30" s="224">
        <v>3556</v>
      </c>
      <c r="BI30" s="224">
        <v>9600</v>
      </c>
      <c r="BJ30" s="224">
        <v>15638</v>
      </c>
      <c r="BK30" s="224">
        <v>3358</v>
      </c>
      <c r="BL30" s="224">
        <v>10500</v>
      </c>
      <c r="BM30" s="224">
        <v>11500</v>
      </c>
      <c r="BN30">
        <v>700</v>
      </c>
      <c r="BO30" s="224">
        <v>10500</v>
      </c>
      <c r="BP30">
        <v>900</v>
      </c>
      <c r="BQ30">
        <v>75</v>
      </c>
      <c r="BR30">
        <v>4</v>
      </c>
      <c r="BS30">
        <v>23</v>
      </c>
      <c r="BT30">
        <v>37</v>
      </c>
      <c r="BU30">
        <v>44</v>
      </c>
      <c r="BV30">
        <v>76</v>
      </c>
      <c r="BW30" s="224">
        <v>8200</v>
      </c>
      <c r="BX30">
        <v>800</v>
      </c>
      <c r="BY30">
        <v>600</v>
      </c>
      <c r="BZ30" s="224">
        <v>1700</v>
      </c>
      <c r="CA30">
        <v>19.7</v>
      </c>
      <c r="CB30">
        <v>20.399999999999999</v>
      </c>
      <c r="CC30">
        <v>19.3</v>
      </c>
      <c r="CD30">
        <v>82</v>
      </c>
      <c r="CE30">
        <v>79.900000000000006</v>
      </c>
      <c r="CF30">
        <v>7.1</v>
      </c>
      <c r="CG30">
        <v>7.3</v>
      </c>
      <c r="CH30">
        <v>76.5</v>
      </c>
      <c r="CI30">
        <v>80.3</v>
      </c>
      <c r="CJ30">
        <v>76</v>
      </c>
      <c r="CK30" s="224">
        <v>1710</v>
      </c>
      <c r="CL30" s="224">
        <v>2125</v>
      </c>
    </row>
    <row r="31" spans="1:90" ht="14.5">
      <c r="A31" t="s">
        <v>161</v>
      </c>
      <c r="B31" t="s">
        <v>162</v>
      </c>
      <c r="C31" t="s">
        <v>163</v>
      </c>
      <c r="D31" s="224">
        <v>272478</v>
      </c>
      <c r="E31" s="224">
        <v>303149</v>
      </c>
      <c r="F31" s="224">
        <v>203690</v>
      </c>
      <c r="G31" s="224">
        <v>220895</v>
      </c>
      <c r="H31" s="224">
        <v>68788</v>
      </c>
      <c r="I31" s="224">
        <v>82254</v>
      </c>
      <c r="J31" s="224">
        <v>8746</v>
      </c>
      <c r="K31" s="224">
        <v>11058</v>
      </c>
      <c r="L31">
        <v>9.1</v>
      </c>
      <c r="M31">
        <v>79.599999999999994</v>
      </c>
      <c r="N31">
        <v>83.7</v>
      </c>
      <c r="O31">
        <v>61.6</v>
      </c>
      <c r="P31">
        <v>62.9</v>
      </c>
      <c r="Q31" s="225">
        <v>1095</v>
      </c>
      <c r="R31">
        <v>950</v>
      </c>
      <c r="S31" s="224">
        <v>65897</v>
      </c>
      <c r="T31">
        <v>18.5</v>
      </c>
      <c r="U31" s="224">
        <v>18698</v>
      </c>
      <c r="V31">
        <v>5.2</v>
      </c>
      <c r="W31" s="224">
        <v>32638</v>
      </c>
      <c r="X31">
        <v>4.8</v>
      </c>
      <c r="Y31">
        <v>1.9</v>
      </c>
      <c r="Z31">
        <v>2.9</v>
      </c>
      <c r="AA31" s="224">
        <v>3160</v>
      </c>
      <c r="AB31" s="224">
        <v>3349</v>
      </c>
      <c r="AC31" s="224">
        <v>5305</v>
      </c>
      <c r="AD31">
        <v>480</v>
      </c>
      <c r="AE31" s="224">
        <v>1145</v>
      </c>
      <c r="AF31">
        <v>20</v>
      </c>
      <c r="AG31" t="s">
        <v>597</v>
      </c>
      <c r="AH31">
        <v>185</v>
      </c>
      <c r="AI31" s="224">
        <v>1590</v>
      </c>
      <c r="AJ31" t="s">
        <v>597</v>
      </c>
      <c r="AK31" t="s">
        <v>597</v>
      </c>
      <c r="AL31" s="224">
        <v>1875</v>
      </c>
      <c r="AM31" s="224">
        <v>3430</v>
      </c>
      <c r="AN31">
        <v>67.900000000000006</v>
      </c>
      <c r="AO31" s="224">
        <v>219162</v>
      </c>
      <c r="AP31" s="224">
        <v>230268</v>
      </c>
      <c r="AQ31" s="224">
        <v>195410</v>
      </c>
      <c r="AR31" s="224">
        <v>319220</v>
      </c>
      <c r="AS31" s="224">
        <v>101461</v>
      </c>
      <c r="AT31" s="224">
        <v>90032</v>
      </c>
      <c r="AU31" s="224">
        <v>182257</v>
      </c>
      <c r="AV31">
        <v>671</v>
      </c>
      <c r="AW31" s="224">
        <v>71251</v>
      </c>
      <c r="AX31">
        <v>795</v>
      </c>
      <c r="AY31" s="224">
        <v>44842</v>
      </c>
      <c r="AZ31">
        <v>317</v>
      </c>
      <c r="BA31" s="224">
        <v>160570</v>
      </c>
      <c r="BB31" s="224">
        <v>182574</v>
      </c>
      <c r="BC31" s="225">
        <v>51359.47</v>
      </c>
      <c r="BD31" s="225">
        <v>25153.06</v>
      </c>
      <c r="BE31">
        <v>462.36</v>
      </c>
      <c r="BF31" s="225">
        <v>1104.23</v>
      </c>
      <c r="BG31" s="224">
        <v>33413</v>
      </c>
      <c r="BH31">
        <v>0</v>
      </c>
      <c r="BI31" s="224">
        <v>12573</v>
      </c>
      <c r="BJ31" s="224">
        <v>18592</v>
      </c>
      <c r="BK31" s="224">
        <v>1567</v>
      </c>
      <c r="BL31" s="224">
        <v>8400</v>
      </c>
      <c r="BM31" s="224">
        <v>9000</v>
      </c>
      <c r="BN31">
        <v>475</v>
      </c>
      <c r="BO31" s="224">
        <v>8000</v>
      </c>
      <c r="BP31" s="224">
        <v>1000</v>
      </c>
      <c r="BQ31">
        <v>81</v>
      </c>
      <c r="BR31">
        <v>4</v>
      </c>
      <c r="BS31">
        <v>21</v>
      </c>
      <c r="BT31">
        <v>37</v>
      </c>
      <c r="BU31">
        <v>43</v>
      </c>
      <c r="BV31">
        <v>77</v>
      </c>
      <c r="BW31" s="224">
        <v>6600</v>
      </c>
      <c r="BX31">
        <v>700</v>
      </c>
      <c r="BY31">
        <v>475</v>
      </c>
      <c r="BZ31" s="224">
        <v>1300</v>
      </c>
      <c r="CA31">
        <v>19.8</v>
      </c>
      <c r="CB31">
        <v>20.100000000000001</v>
      </c>
      <c r="CC31">
        <v>19.5</v>
      </c>
      <c r="CD31">
        <v>83.3</v>
      </c>
      <c r="CE31">
        <v>79.8</v>
      </c>
      <c r="CF31">
        <v>7.2</v>
      </c>
      <c r="CG31">
        <v>7.2</v>
      </c>
      <c r="CH31">
        <v>76.400000000000006</v>
      </c>
      <c r="CI31">
        <v>78.400000000000006</v>
      </c>
      <c r="CJ31">
        <v>76.7</v>
      </c>
      <c r="CK31" s="224">
        <v>1975</v>
      </c>
      <c r="CL31" s="224">
        <v>1990</v>
      </c>
    </row>
    <row r="32" spans="1:90" ht="14.5">
      <c r="A32" t="s">
        <v>164</v>
      </c>
      <c r="B32" t="s">
        <v>165</v>
      </c>
      <c r="C32" t="s">
        <v>166</v>
      </c>
      <c r="D32" s="224">
        <v>6999</v>
      </c>
      <c r="E32" s="224">
        <v>14964</v>
      </c>
      <c r="F32" s="224">
        <v>5851</v>
      </c>
      <c r="G32" s="224">
        <v>13523</v>
      </c>
      <c r="H32" s="224">
        <v>1148</v>
      </c>
      <c r="I32" s="224">
        <v>1441</v>
      </c>
      <c r="J32">
        <v>148</v>
      </c>
      <c r="K32">
        <v>164</v>
      </c>
      <c r="L32">
        <v>5.7</v>
      </c>
      <c r="M32" t="s">
        <v>597</v>
      </c>
      <c r="N32" t="s">
        <v>597</v>
      </c>
      <c r="O32" t="s">
        <v>597</v>
      </c>
      <c r="P32" t="s">
        <v>597</v>
      </c>
      <c r="Q32" t="s">
        <v>597</v>
      </c>
      <c r="R32">
        <v>10</v>
      </c>
      <c r="S32">
        <v>919</v>
      </c>
      <c r="T32">
        <v>10.7</v>
      </c>
      <c r="U32">
        <v>233</v>
      </c>
      <c r="V32">
        <v>2.7</v>
      </c>
      <c r="W32">
        <v>496</v>
      </c>
      <c r="X32">
        <v>4</v>
      </c>
      <c r="Y32">
        <v>1</v>
      </c>
      <c r="Z32">
        <v>0.9</v>
      </c>
      <c r="AA32">
        <v>0</v>
      </c>
      <c r="AB32">
        <v>0</v>
      </c>
      <c r="AC32">
        <v>140</v>
      </c>
      <c r="AD32">
        <v>10</v>
      </c>
      <c r="AE32">
        <v>25</v>
      </c>
      <c r="AF32" t="s">
        <v>597</v>
      </c>
      <c r="AG32" t="s">
        <v>597</v>
      </c>
      <c r="AH32">
        <v>15</v>
      </c>
      <c r="AI32">
        <v>35</v>
      </c>
      <c r="AJ32">
        <v>15</v>
      </c>
      <c r="AK32" t="s">
        <v>597</v>
      </c>
      <c r="AL32">
        <v>45</v>
      </c>
      <c r="AM32">
        <v>95</v>
      </c>
      <c r="AN32">
        <v>63.5</v>
      </c>
      <c r="AO32" s="224">
        <v>9107</v>
      </c>
      <c r="AP32" s="224">
        <v>10181</v>
      </c>
      <c r="AQ32" s="224">
        <v>8245</v>
      </c>
      <c r="AR32" s="224">
        <v>165679</v>
      </c>
      <c r="AS32" s="224">
        <v>2344</v>
      </c>
      <c r="AT32" s="224">
        <v>2822</v>
      </c>
      <c r="AU32" s="224">
        <v>4397</v>
      </c>
      <c r="AV32">
        <v>169</v>
      </c>
      <c r="AW32">
        <v>660</v>
      </c>
      <c r="AX32">
        <v>509</v>
      </c>
      <c r="AY32" s="224">
        <v>1380</v>
      </c>
      <c r="AZ32">
        <v>460</v>
      </c>
      <c r="BA32" s="224">
        <v>4006</v>
      </c>
      <c r="BB32" s="224">
        <v>4857</v>
      </c>
      <c r="BC32" s="225">
        <v>52866.67</v>
      </c>
      <c r="BD32" s="225">
        <v>26084.21</v>
      </c>
      <c r="BE32">
        <v>185.83</v>
      </c>
      <c r="BF32" s="225">
        <v>2311.59</v>
      </c>
      <c r="BG32" s="224">
        <v>1251</v>
      </c>
      <c r="BH32">
        <v>0</v>
      </c>
      <c r="BI32">
        <v>323</v>
      </c>
      <c r="BJ32">
        <v>323</v>
      </c>
      <c r="BK32">
        <v>59</v>
      </c>
      <c r="BL32" s="224">
        <v>2600</v>
      </c>
      <c r="BM32" s="224">
        <v>3400</v>
      </c>
      <c r="BN32">
        <v>150</v>
      </c>
      <c r="BO32" s="224">
        <v>3400</v>
      </c>
      <c r="BP32">
        <v>25</v>
      </c>
      <c r="BQ32">
        <v>71</v>
      </c>
      <c r="BR32">
        <v>6</v>
      </c>
      <c r="BS32">
        <v>28</v>
      </c>
      <c r="BT32">
        <v>41</v>
      </c>
      <c r="BU32">
        <v>44</v>
      </c>
      <c r="BV32">
        <v>34</v>
      </c>
      <c r="BW32" s="224">
        <v>2300</v>
      </c>
      <c r="BX32">
        <v>425</v>
      </c>
      <c r="BY32">
        <v>75</v>
      </c>
      <c r="BZ32">
        <v>650</v>
      </c>
      <c r="CA32">
        <v>16.100000000000001</v>
      </c>
      <c r="CB32">
        <v>22.3</v>
      </c>
      <c r="CC32">
        <v>17.600000000000001</v>
      </c>
      <c r="CD32">
        <v>90.4</v>
      </c>
      <c r="CE32">
        <v>80</v>
      </c>
      <c r="CF32">
        <v>7</v>
      </c>
      <c r="CG32">
        <v>6.5</v>
      </c>
      <c r="CH32">
        <v>71.099999999999994</v>
      </c>
      <c r="CI32">
        <v>40</v>
      </c>
      <c r="CJ32" t="s">
        <v>598</v>
      </c>
      <c r="CK32">
        <v>50</v>
      </c>
      <c r="CL32">
        <v>35</v>
      </c>
    </row>
    <row r="33" spans="1:90" ht="14.5">
      <c r="A33" t="s">
        <v>167</v>
      </c>
      <c r="B33" t="s">
        <v>168</v>
      </c>
      <c r="C33" t="s">
        <v>169</v>
      </c>
      <c r="D33" s="224">
        <v>443643</v>
      </c>
      <c r="E33" s="224">
        <v>480413</v>
      </c>
      <c r="F33" s="224">
        <v>312578</v>
      </c>
      <c r="G33" s="224">
        <v>325699</v>
      </c>
      <c r="H33" s="224">
        <v>131065</v>
      </c>
      <c r="I33" s="224">
        <v>154714</v>
      </c>
      <c r="J33" s="224">
        <v>16864</v>
      </c>
      <c r="K33" s="224">
        <v>19439</v>
      </c>
      <c r="L33">
        <v>9.5</v>
      </c>
      <c r="M33">
        <v>79.5</v>
      </c>
      <c r="N33">
        <v>83.6</v>
      </c>
      <c r="O33">
        <v>60.2</v>
      </c>
      <c r="P33">
        <v>60</v>
      </c>
      <c r="Q33" s="225">
        <v>1820</v>
      </c>
      <c r="R33" s="224">
        <v>1625</v>
      </c>
      <c r="S33" s="224">
        <v>120570</v>
      </c>
      <c r="T33">
        <v>21.1</v>
      </c>
      <c r="U33" s="224">
        <v>35280</v>
      </c>
      <c r="V33">
        <v>6.2</v>
      </c>
      <c r="W33" s="224">
        <v>54552</v>
      </c>
      <c r="X33">
        <v>4.9000000000000004</v>
      </c>
      <c r="Y33">
        <v>2</v>
      </c>
      <c r="Z33">
        <v>3.2</v>
      </c>
      <c r="AA33" s="224">
        <v>4883</v>
      </c>
      <c r="AB33" s="224">
        <v>4877</v>
      </c>
      <c r="AC33" s="224">
        <v>9500</v>
      </c>
      <c r="AD33" s="224">
        <v>1085</v>
      </c>
      <c r="AE33" s="224">
        <v>1900</v>
      </c>
      <c r="AF33">
        <v>85</v>
      </c>
      <c r="AG33" t="s">
        <v>597</v>
      </c>
      <c r="AH33">
        <v>470</v>
      </c>
      <c r="AI33" s="224">
        <v>2805</v>
      </c>
      <c r="AJ33">
        <v>30</v>
      </c>
      <c r="AK33" t="s">
        <v>597</v>
      </c>
      <c r="AL33" s="224">
        <v>3500</v>
      </c>
      <c r="AM33" s="224">
        <v>6000</v>
      </c>
      <c r="AN33">
        <v>69.400000000000006</v>
      </c>
      <c r="AO33" s="224">
        <v>358344</v>
      </c>
      <c r="AP33" s="224">
        <v>382914</v>
      </c>
      <c r="AQ33" s="224">
        <v>353098</v>
      </c>
      <c r="AR33" s="224">
        <v>748239</v>
      </c>
      <c r="AS33" s="224">
        <v>163275</v>
      </c>
      <c r="AT33" s="224">
        <v>159533</v>
      </c>
      <c r="AU33" s="224">
        <v>289943</v>
      </c>
      <c r="AV33">
        <v>926</v>
      </c>
      <c r="AW33" s="224">
        <v>88097</v>
      </c>
      <c r="AX33" s="224">
        <v>2890</v>
      </c>
      <c r="AY33" s="224">
        <v>106873</v>
      </c>
      <c r="AZ33" s="224">
        <v>3640</v>
      </c>
      <c r="BA33" s="224">
        <v>266026</v>
      </c>
      <c r="BB33" s="224">
        <v>293583</v>
      </c>
      <c r="BC33" s="225">
        <v>40165.14</v>
      </c>
      <c r="BD33" s="225">
        <v>25500.83</v>
      </c>
      <c r="BE33">
        <v>504.15</v>
      </c>
      <c r="BF33" s="225">
        <v>1049.83</v>
      </c>
      <c r="BG33" s="224">
        <v>44164</v>
      </c>
      <c r="BH33">
        <v>0</v>
      </c>
      <c r="BI33" s="224">
        <v>21326</v>
      </c>
      <c r="BJ33" s="224">
        <v>39088</v>
      </c>
      <c r="BK33" s="224">
        <v>9978</v>
      </c>
      <c r="BL33" s="224">
        <v>15000</v>
      </c>
      <c r="BM33" s="224">
        <v>16500</v>
      </c>
      <c r="BN33" s="224">
        <v>1400</v>
      </c>
      <c r="BO33" s="224">
        <v>15000</v>
      </c>
      <c r="BP33" s="224">
        <v>1100</v>
      </c>
      <c r="BQ33">
        <v>78</v>
      </c>
      <c r="BR33">
        <v>3</v>
      </c>
      <c r="BS33">
        <v>12</v>
      </c>
      <c r="BT33">
        <v>44</v>
      </c>
      <c r="BU33">
        <v>44</v>
      </c>
      <c r="BV33">
        <v>87</v>
      </c>
      <c r="BW33" s="224">
        <v>11500</v>
      </c>
      <c r="BX33" s="224">
        <v>1500</v>
      </c>
      <c r="BY33">
        <v>650</v>
      </c>
      <c r="BZ33" s="224">
        <v>2700</v>
      </c>
      <c r="CA33">
        <v>19.3</v>
      </c>
      <c r="CB33">
        <v>19.3</v>
      </c>
      <c r="CC33">
        <v>19.3</v>
      </c>
      <c r="CD33">
        <v>81.599999999999994</v>
      </c>
      <c r="CE33">
        <v>79.3</v>
      </c>
      <c r="CF33">
        <v>7.1</v>
      </c>
      <c r="CG33">
        <v>7.3</v>
      </c>
      <c r="CH33">
        <v>70.7</v>
      </c>
      <c r="CI33">
        <v>74.2</v>
      </c>
      <c r="CJ33">
        <v>79</v>
      </c>
      <c r="CK33" s="224">
        <v>1470</v>
      </c>
      <c r="CL33">
        <v>925</v>
      </c>
    </row>
    <row r="34" spans="1:90" ht="14.5">
      <c r="A34" t="s">
        <v>170</v>
      </c>
      <c r="B34" t="s">
        <v>171</v>
      </c>
      <c r="C34" t="s">
        <v>172</v>
      </c>
      <c r="D34" s="224">
        <v>257501</v>
      </c>
      <c r="E34" s="224">
        <v>284983</v>
      </c>
      <c r="F34" s="224">
        <v>208445</v>
      </c>
      <c r="G34" s="224">
        <v>233280</v>
      </c>
      <c r="H34" s="224">
        <v>49056</v>
      </c>
      <c r="I34" s="224">
        <v>51703</v>
      </c>
      <c r="J34" s="224">
        <v>7080</v>
      </c>
      <c r="K34" s="224">
        <v>7333</v>
      </c>
      <c r="L34">
        <v>8</v>
      </c>
      <c r="M34">
        <v>77.400000000000006</v>
      </c>
      <c r="N34">
        <v>81.8</v>
      </c>
      <c r="O34">
        <v>59.2</v>
      </c>
      <c r="P34">
        <v>58.9</v>
      </c>
      <c r="Q34">
        <v>900</v>
      </c>
      <c r="R34">
        <v>750</v>
      </c>
      <c r="S34" s="224">
        <v>57225</v>
      </c>
      <c r="T34">
        <v>16.600000000000001</v>
      </c>
      <c r="U34" s="224">
        <v>18495</v>
      </c>
      <c r="V34">
        <v>5.4</v>
      </c>
      <c r="W34" s="224">
        <v>27391</v>
      </c>
      <c r="X34">
        <v>4</v>
      </c>
      <c r="Y34">
        <v>1.9</v>
      </c>
      <c r="Z34">
        <v>2.6</v>
      </c>
      <c r="AA34" s="224">
        <v>2028</v>
      </c>
      <c r="AB34" s="224">
        <v>2048</v>
      </c>
      <c r="AC34" s="224">
        <v>4810</v>
      </c>
      <c r="AD34">
        <v>430</v>
      </c>
      <c r="AE34">
        <v>885</v>
      </c>
      <c r="AF34" t="s">
        <v>597</v>
      </c>
      <c r="AG34" t="s">
        <v>597</v>
      </c>
      <c r="AH34">
        <v>255</v>
      </c>
      <c r="AI34" s="224">
        <v>1690</v>
      </c>
      <c r="AJ34" t="s">
        <v>597</v>
      </c>
      <c r="AK34" t="s">
        <v>597</v>
      </c>
      <c r="AL34" s="224">
        <v>1680</v>
      </c>
      <c r="AM34" s="224">
        <v>3130</v>
      </c>
      <c r="AN34">
        <v>67.099999999999994</v>
      </c>
      <c r="AO34" s="224">
        <v>171776</v>
      </c>
      <c r="AP34" s="224">
        <v>172389</v>
      </c>
      <c r="AQ34" s="224">
        <v>149024</v>
      </c>
      <c r="AR34" s="224">
        <v>302252</v>
      </c>
      <c r="AS34" s="224">
        <v>80291</v>
      </c>
      <c r="AT34" s="224">
        <v>61747</v>
      </c>
      <c r="AU34" s="224">
        <v>132539</v>
      </c>
      <c r="AV34" s="224">
        <v>2120</v>
      </c>
      <c r="AW34" s="224">
        <v>52064</v>
      </c>
      <c r="AX34" s="224">
        <v>6293</v>
      </c>
      <c r="AY34" s="224">
        <v>39234</v>
      </c>
      <c r="AZ34" s="224">
        <v>7015</v>
      </c>
      <c r="BA34" s="224">
        <v>126705</v>
      </c>
      <c r="BB34" s="224">
        <v>139554</v>
      </c>
      <c r="BC34" s="225">
        <v>45325.599999999999</v>
      </c>
      <c r="BD34" s="225">
        <v>20257.830000000002</v>
      </c>
      <c r="BE34">
        <v>353.27</v>
      </c>
      <c r="BF34" s="225">
        <v>1315.98</v>
      </c>
      <c r="BG34" s="224">
        <v>23372</v>
      </c>
      <c r="BH34">
        <v>0</v>
      </c>
      <c r="BI34" s="224">
        <v>21552</v>
      </c>
      <c r="BJ34" s="224">
        <v>23112</v>
      </c>
      <c r="BK34">
        <v>443</v>
      </c>
      <c r="BL34" s="224">
        <v>8000</v>
      </c>
      <c r="BM34" s="224">
        <v>8900</v>
      </c>
      <c r="BN34" s="224">
        <v>1000</v>
      </c>
      <c r="BO34" s="224">
        <v>7900</v>
      </c>
      <c r="BP34">
        <v>950</v>
      </c>
      <c r="BQ34">
        <v>78</v>
      </c>
      <c r="BR34">
        <v>5</v>
      </c>
      <c r="BS34">
        <v>38</v>
      </c>
      <c r="BT34">
        <v>38</v>
      </c>
      <c r="BU34">
        <v>43</v>
      </c>
      <c r="BV34">
        <v>40</v>
      </c>
      <c r="BW34" s="224">
        <v>6800</v>
      </c>
      <c r="BX34">
        <v>750</v>
      </c>
      <c r="BY34">
        <v>350</v>
      </c>
      <c r="BZ34" s="224">
        <v>1000</v>
      </c>
      <c r="CA34">
        <v>19.600000000000001</v>
      </c>
      <c r="CB34">
        <v>20.2</v>
      </c>
      <c r="CC34">
        <v>19.2</v>
      </c>
      <c r="CD34">
        <v>82.2</v>
      </c>
      <c r="CE34">
        <v>80</v>
      </c>
      <c r="CF34">
        <v>7</v>
      </c>
      <c r="CG34">
        <v>7.1</v>
      </c>
      <c r="CH34">
        <v>72.599999999999994</v>
      </c>
      <c r="CI34">
        <v>69.400000000000006</v>
      </c>
      <c r="CJ34">
        <v>63.4</v>
      </c>
      <c r="CK34" s="224">
        <v>1340</v>
      </c>
      <c r="CL34" s="224">
        <v>1480</v>
      </c>
    </row>
    <row r="35" spans="1:90" ht="14.5">
      <c r="A35" t="s">
        <v>173</v>
      </c>
      <c r="B35" t="s">
        <v>174</v>
      </c>
      <c r="C35" t="s">
        <v>175</v>
      </c>
      <c r="D35" s="224">
        <v>289668</v>
      </c>
      <c r="E35" s="224">
        <v>318554</v>
      </c>
      <c r="F35" s="224">
        <v>240728</v>
      </c>
      <c r="G35" s="224">
        <v>259953</v>
      </c>
      <c r="H35" s="224">
        <v>48940</v>
      </c>
      <c r="I35" s="224">
        <v>58601</v>
      </c>
      <c r="J35" s="224">
        <v>6490</v>
      </c>
      <c r="K35" s="224">
        <v>7990</v>
      </c>
      <c r="L35">
        <v>7.4</v>
      </c>
      <c r="M35">
        <v>79.900000000000006</v>
      </c>
      <c r="N35">
        <v>84.3</v>
      </c>
      <c r="O35">
        <v>66.7</v>
      </c>
      <c r="P35">
        <v>67.5</v>
      </c>
      <c r="Q35" s="225">
        <v>1010</v>
      </c>
      <c r="R35">
        <v>875</v>
      </c>
      <c r="S35" s="224">
        <v>54852</v>
      </c>
      <c r="T35">
        <v>14</v>
      </c>
      <c r="U35" s="224">
        <v>16631</v>
      </c>
      <c r="V35">
        <v>4.3</v>
      </c>
      <c r="W35" s="224">
        <v>28831</v>
      </c>
      <c r="X35">
        <v>3.9</v>
      </c>
      <c r="Y35">
        <v>1.8</v>
      </c>
      <c r="Z35">
        <v>2.1</v>
      </c>
      <c r="AA35" s="224">
        <v>3268</v>
      </c>
      <c r="AB35" s="224">
        <v>3475</v>
      </c>
      <c r="AC35" s="224">
        <v>5805</v>
      </c>
      <c r="AD35">
        <v>510</v>
      </c>
      <c r="AE35" t="s">
        <v>597</v>
      </c>
      <c r="AF35" t="s">
        <v>597</v>
      </c>
      <c r="AG35" s="224">
        <v>1495</v>
      </c>
      <c r="AH35">
        <v>160</v>
      </c>
      <c r="AI35" t="s">
        <v>597</v>
      </c>
      <c r="AJ35" t="s">
        <v>597</v>
      </c>
      <c r="AK35" s="224">
        <v>2095</v>
      </c>
      <c r="AL35" s="224">
        <v>2465</v>
      </c>
      <c r="AM35" s="224">
        <v>3340</v>
      </c>
      <c r="AN35">
        <v>55.7</v>
      </c>
      <c r="AO35" s="224">
        <v>202138</v>
      </c>
      <c r="AP35" s="224">
        <v>222858</v>
      </c>
      <c r="AQ35" s="224">
        <v>195126</v>
      </c>
      <c r="AR35" s="224">
        <v>401705</v>
      </c>
      <c r="AS35" s="224">
        <v>92816</v>
      </c>
      <c r="AT35" s="224">
        <v>89713</v>
      </c>
      <c r="AU35" s="224">
        <v>157862</v>
      </c>
      <c r="AV35">
        <v>397</v>
      </c>
      <c r="AW35" s="224">
        <v>46987</v>
      </c>
      <c r="AX35" s="224">
        <v>2573</v>
      </c>
      <c r="AY35" s="224">
        <v>66901</v>
      </c>
      <c r="AZ35" s="224">
        <v>5130</v>
      </c>
      <c r="BA35" s="224">
        <v>145564</v>
      </c>
      <c r="BB35" s="224">
        <v>162992</v>
      </c>
      <c r="BC35" s="225">
        <v>31365.919999999998</v>
      </c>
      <c r="BD35" s="225">
        <v>25651.200000000001</v>
      </c>
      <c r="BE35">
        <v>358.58</v>
      </c>
      <c r="BF35" s="225">
        <v>1574.82</v>
      </c>
      <c r="BG35" s="224">
        <v>28792</v>
      </c>
      <c r="BH35">
        <v>0</v>
      </c>
      <c r="BI35" s="224">
        <v>13010</v>
      </c>
      <c r="BJ35" s="224">
        <v>21879</v>
      </c>
      <c r="BK35" s="224">
        <v>1183</v>
      </c>
      <c r="BL35" s="224">
        <v>9900</v>
      </c>
      <c r="BM35" s="224">
        <v>11000</v>
      </c>
      <c r="BN35" s="224">
        <v>1200</v>
      </c>
      <c r="BO35" s="224">
        <v>10500</v>
      </c>
      <c r="BP35">
        <v>700</v>
      </c>
      <c r="BQ35">
        <v>75</v>
      </c>
      <c r="BR35">
        <v>7</v>
      </c>
      <c r="BS35">
        <v>53</v>
      </c>
      <c r="BT35">
        <v>32</v>
      </c>
      <c r="BU35">
        <v>44</v>
      </c>
      <c r="BV35">
        <v>16</v>
      </c>
      <c r="BW35" s="224">
        <v>8300</v>
      </c>
      <c r="BX35">
        <v>950</v>
      </c>
      <c r="BY35">
        <v>550</v>
      </c>
      <c r="BZ35" s="224">
        <v>1200</v>
      </c>
      <c r="CA35">
        <v>18.8</v>
      </c>
      <c r="CB35">
        <v>19.7</v>
      </c>
      <c r="CC35">
        <v>18</v>
      </c>
      <c r="CD35">
        <v>71</v>
      </c>
      <c r="CE35">
        <v>64.5</v>
      </c>
      <c r="CF35">
        <v>7.1</v>
      </c>
      <c r="CG35">
        <v>7.4</v>
      </c>
      <c r="CH35">
        <v>68.5</v>
      </c>
      <c r="CI35">
        <v>67.7</v>
      </c>
      <c r="CJ35">
        <v>89.9</v>
      </c>
      <c r="CK35" s="224">
        <v>1855</v>
      </c>
      <c r="CL35" s="224">
        <v>1480</v>
      </c>
    </row>
    <row r="36" spans="1:90" ht="14.5">
      <c r="A36" t="s">
        <v>176</v>
      </c>
      <c r="B36" t="s">
        <v>177</v>
      </c>
      <c r="C36" t="s">
        <v>178</v>
      </c>
      <c r="D36" s="224">
        <v>222111</v>
      </c>
      <c r="E36" s="224">
        <v>230232</v>
      </c>
      <c r="F36" s="224">
        <v>163024</v>
      </c>
      <c r="G36" s="224">
        <v>161194</v>
      </c>
      <c r="H36" s="224">
        <v>59087</v>
      </c>
      <c r="I36" s="224">
        <v>69038</v>
      </c>
      <c r="J36" s="224">
        <v>7311</v>
      </c>
      <c r="K36" s="224">
        <v>8831</v>
      </c>
      <c r="L36">
        <v>9</v>
      </c>
      <c r="M36">
        <v>77.8</v>
      </c>
      <c r="N36">
        <v>81.7</v>
      </c>
      <c r="O36">
        <v>59</v>
      </c>
      <c r="P36">
        <v>60.1</v>
      </c>
      <c r="Q36">
        <v>730</v>
      </c>
      <c r="R36">
        <v>645</v>
      </c>
      <c r="S36" s="224">
        <v>54115</v>
      </c>
      <c r="T36">
        <v>19.8</v>
      </c>
      <c r="U36" s="224">
        <v>16757</v>
      </c>
      <c r="V36">
        <v>6.1</v>
      </c>
      <c r="W36" s="224">
        <v>24707</v>
      </c>
      <c r="X36">
        <v>4.5999999999999996</v>
      </c>
      <c r="Y36">
        <v>2</v>
      </c>
      <c r="Z36">
        <v>3</v>
      </c>
      <c r="AA36" s="224">
        <v>2383</v>
      </c>
      <c r="AB36" s="224">
        <v>2347</v>
      </c>
      <c r="AC36" s="224">
        <v>4915</v>
      </c>
      <c r="AD36">
        <v>315</v>
      </c>
      <c r="AE36" t="s">
        <v>597</v>
      </c>
      <c r="AF36" t="s">
        <v>597</v>
      </c>
      <c r="AG36" s="224">
        <v>1245</v>
      </c>
      <c r="AH36">
        <v>150</v>
      </c>
      <c r="AI36" t="s">
        <v>597</v>
      </c>
      <c r="AJ36" t="s">
        <v>597</v>
      </c>
      <c r="AK36" s="224">
        <v>1620</v>
      </c>
      <c r="AL36" s="224">
        <v>1705</v>
      </c>
      <c r="AM36" s="224">
        <v>3210</v>
      </c>
      <c r="AN36">
        <v>63.8</v>
      </c>
      <c r="AO36" s="224">
        <v>147523</v>
      </c>
      <c r="AP36" s="224">
        <v>160121</v>
      </c>
      <c r="AQ36" t="s">
        <v>598</v>
      </c>
      <c r="AR36" t="s">
        <v>598</v>
      </c>
      <c r="AS36" s="224">
        <v>50753</v>
      </c>
      <c r="AT36" s="224">
        <v>84368</v>
      </c>
      <c r="AU36" s="224">
        <v>125433</v>
      </c>
      <c r="AV36" s="224">
        <v>1610</v>
      </c>
      <c r="AW36" s="224">
        <v>36278</v>
      </c>
      <c r="AX36" s="224">
        <v>3064</v>
      </c>
      <c r="AY36" s="224">
        <v>54229</v>
      </c>
      <c r="AZ36" s="224">
        <v>4920</v>
      </c>
      <c r="BA36" s="224">
        <v>117337</v>
      </c>
      <c r="BB36" s="224">
        <v>130353</v>
      </c>
      <c r="BC36" s="225">
        <v>30330.79</v>
      </c>
      <c r="BD36" s="225">
        <v>24498.13</v>
      </c>
      <c r="BE36">
        <v>324.83999999999997</v>
      </c>
      <c r="BF36" s="225">
        <v>1266.43</v>
      </c>
      <c r="BG36" s="224">
        <v>32550</v>
      </c>
      <c r="BH36">
        <v>0</v>
      </c>
      <c r="BI36" s="224">
        <v>32050</v>
      </c>
      <c r="BJ36" s="224">
        <v>40227</v>
      </c>
      <c r="BK36" s="224">
        <v>2643</v>
      </c>
      <c r="BL36" s="224">
        <v>6500</v>
      </c>
      <c r="BM36" s="224">
        <v>7100</v>
      </c>
      <c r="BN36">
        <v>850</v>
      </c>
      <c r="BO36" s="224">
        <v>5600</v>
      </c>
      <c r="BP36" s="224">
        <v>1400</v>
      </c>
      <c r="BQ36">
        <v>86</v>
      </c>
      <c r="BR36">
        <v>2</v>
      </c>
      <c r="BS36">
        <v>8</v>
      </c>
      <c r="BT36">
        <v>49</v>
      </c>
      <c r="BU36">
        <v>44</v>
      </c>
      <c r="BV36">
        <v>93</v>
      </c>
      <c r="BW36" s="224">
        <v>5200</v>
      </c>
      <c r="BX36">
        <v>650</v>
      </c>
      <c r="BY36">
        <v>325</v>
      </c>
      <c r="BZ36">
        <v>950</v>
      </c>
      <c r="CA36">
        <v>19.5</v>
      </c>
      <c r="CB36">
        <v>19.899999999999999</v>
      </c>
      <c r="CC36">
        <v>19.3</v>
      </c>
      <c r="CD36">
        <v>80.599999999999994</v>
      </c>
      <c r="CE36">
        <v>77.8</v>
      </c>
      <c r="CF36">
        <v>7.6</v>
      </c>
      <c r="CG36">
        <v>8</v>
      </c>
      <c r="CH36">
        <v>71.900000000000006</v>
      </c>
      <c r="CI36">
        <v>70.900000000000006</v>
      </c>
      <c r="CJ36">
        <v>91.1</v>
      </c>
      <c r="CK36" t="s">
        <v>598</v>
      </c>
      <c r="CL36" s="224">
        <v>5045</v>
      </c>
    </row>
    <row r="37" spans="1:90" ht="14.5">
      <c r="A37" t="s">
        <v>179</v>
      </c>
      <c r="B37" t="s">
        <v>180</v>
      </c>
      <c r="C37" t="s">
        <v>181</v>
      </c>
      <c r="D37" s="224">
        <v>83410</v>
      </c>
      <c r="E37" s="224">
        <v>90617</v>
      </c>
      <c r="F37" s="224">
        <v>63059</v>
      </c>
      <c r="G37" s="224">
        <v>66241</v>
      </c>
      <c r="H37" s="224">
        <v>20351</v>
      </c>
      <c r="I37" s="224">
        <v>24376</v>
      </c>
      <c r="J37" s="224">
        <v>2677</v>
      </c>
      <c r="K37" s="224">
        <v>3285</v>
      </c>
      <c r="L37">
        <v>9.1</v>
      </c>
      <c r="M37">
        <v>77.7</v>
      </c>
      <c r="N37">
        <v>81.5</v>
      </c>
      <c r="O37">
        <v>58.6</v>
      </c>
      <c r="P37">
        <v>58.6</v>
      </c>
      <c r="Q37">
        <v>340</v>
      </c>
      <c r="R37">
        <v>280</v>
      </c>
      <c r="S37" s="224">
        <v>21104</v>
      </c>
      <c r="T37">
        <v>19.600000000000001</v>
      </c>
      <c r="U37" s="224">
        <v>6344</v>
      </c>
      <c r="V37">
        <v>5.9</v>
      </c>
      <c r="W37" s="224">
        <v>9804</v>
      </c>
      <c r="X37">
        <v>4.5</v>
      </c>
      <c r="Y37">
        <v>2.1</v>
      </c>
      <c r="Z37">
        <v>3</v>
      </c>
      <c r="AA37" s="224">
        <v>1326</v>
      </c>
      <c r="AB37" s="224">
        <v>1305</v>
      </c>
      <c r="AC37" s="224">
        <v>1710</v>
      </c>
      <c r="AD37">
        <v>220</v>
      </c>
      <c r="AE37">
        <v>245</v>
      </c>
      <c r="AF37">
        <v>15</v>
      </c>
      <c r="AG37" t="s">
        <v>597</v>
      </c>
      <c r="AH37">
        <v>40</v>
      </c>
      <c r="AI37">
        <v>475</v>
      </c>
      <c r="AJ37">
        <v>35</v>
      </c>
      <c r="AK37" t="s">
        <v>597</v>
      </c>
      <c r="AL37">
        <v>550</v>
      </c>
      <c r="AM37" s="224">
        <v>1160</v>
      </c>
      <c r="AN37">
        <v>70.599999999999994</v>
      </c>
      <c r="AO37" s="224">
        <v>62453</v>
      </c>
      <c r="AP37" s="224">
        <v>64493</v>
      </c>
      <c r="AQ37" s="224">
        <v>52537</v>
      </c>
      <c r="AR37" s="224">
        <v>111247</v>
      </c>
      <c r="AS37" s="224">
        <v>22515</v>
      </c>
      <c r="AT37" s="224">
        <v>25704</v>
      </c>
      <c r="AU37" s="224">
        <v>46073</v>
      </c>
      <c r="AV37" s="224">
        <v>1459</v>
      </c>
      <c r="AW37" s="224">
        <v>16899</v>
      </c>
      <c r="AX37" s="224">
        <v>4360</v>
      </c>
      <c r="AY37" s="224">
        <v>18659</v>
      </c>
      <c r="AZ37" s="224">
        <v>5886</v>
      </c>
      <c r="BA37" s="224">
        <v>45174</v>
      </c>
      <c r="BB37" s="224">
        <v>51959</v>
      </c>
      <c r="BC37" s="225">
        <v>43310.91</v>
      </c>
      <c r="BD37" s="225">
        <v>24256.9</v>
      </c>
      <c r="BE37">
        <v>361.92</v>
      </c>
      <c r="BF37" s="225">
        <v>1233.3399999999999</v>
      </c>
      <c r="BG37" s="224">
        <v>13164</v>
      </c>
      <c r="BH37">
        <v>0</v>
      </c>
      <c r="BI37" s="224">
        <v>4943</v>
      </c>
      <c r="BJ37" s="224">
        <v>7644</v>
      </c>
      <c r="BK37" s="224">
        <v>2262</v>
      </c>
      <c r="BL37" s="224">
        <v>3100</v>
      </c>
      <c r="BM37" s="224">
        <v>3400</v>
      </c>
      <c r="BN37">
        <v>175</v>
      </c>
      <c r="BO37" s="224">
        <v>3200</v>
      </c>
      <c r="BP37">
        <v>225</v>
      </c>
      <c r="BQ37">
        <v>85</v>
      </c>
      <c r="BR37">
        <v>2</v>
      </c>
      <c r="BS37">
        <v>9</v>
      </c>
      <c r="BT37">
        <v>49</v>
      </c>
      <c r="BU37">
        <v>45</v>
      </c>
      <c r="BV37">
        <v>94</v>
      </c>
      <c r="BW37" s="224">
        <v>2500</v>
      </c>
      <c r="BX37">
        <v>300</v>
      </c>
      <c r="BY37">
        <v>175</v>
      </c>
      <c r="BZ37">
        <v>475</v>
      </c>
      <c r="CA37">
        <v>19.7</v>
      </c>
      <c r="CB37">
        <v>19.8</v>
      </c>
      <c r="CC37">
        <v>19.600000000000001</v>
      </c>
      <c r="CD37">
        <v>82.6</v>
      </c>
      <c r="CE37">
        <v>84.1</v>
      </c>
      <c r="CF37">
        <v>6.9</v>
      </c>
      <c r="CG37">
        <v>7.5</v>
      </c>
      <c r="CH37">
        <v>78.7</v>
      </c>
      <c r="CI37">
        <v>80.900000000000006</v>
      </c>
      <c r="CJ37">
        <v>86.7</v>
      </c>
      <c r="CK37">
        <v>260</v>
      </c>
      <c r="CL37">
        <v>295</v>
      </c>
    </row>
    <row r="38" spans="1:90" ht="14.5">
      <c r="A38" t="s">
        <v>182</v>
      </c>
      <c r="B38" t="s">
        <v>183</v>
      </c>
      <c r="C38" t="s">
        <v>184</v>
      </c>
      <c r="D38" s="224">
        <v>198932</v>
      </c>
      <c r="E38" s="224">
        <v>214343</v>
      </c>
      <c r="F38" s="224">
        <v>158173</v>
      </c>
      <c r="G38" s="224">
        <v>168954</v>
      </c>
      <c r="H38" s="224">
        <v>40759</v>
      </c>
      <c r="I38" s="224">
        <v>45389</v>
      </c>
      <c r="J38" s="224">
        <v>5943</v>
      </c>
      <c r="K38" s="224">
        <v>6712</v>
      </c>
      <c r="L38">
        <v>8.5</v>
      </c>
      <c r="M38">
        <v>78.3</v>
      </c>
      <c r="N38">
        <v>81.8</v>
      </c>
      <c r="O38">
        <v>57.7</v>
      </c>
      <c r="P38">
        <v>57.4</v>
      </c>
      <c r="Q38">
        <v>875</v>
      </c>
      <c r="R38">
        <v>745</v>
      </c>
      <c r="S38" s="224">
        <v>49040</v>
      </c>
      <c r="T38">
        <v>18.8</v>
      </c>
      <c r="U38" s="224">
        <v>15147</v>
      </c>
      <c r="V38">
        <v>5.8</v>
      </c>
      <c r="W38" s="224">
        <v>22270</v>
      </c>
      <c r="X38">
        <v>4.0999999999999996</v>
      </c>
      <c r="Y38">
        <v>2.1</v>
      </c>
      <c r="Z38">
        <v>2.9</v>
      </c>
      <c r="AA38" s="224">
        <v>2335</v>
      </c>
      <c r="AB38" s="224">
        <v>2481</v>
      </c>
      <c r="AC38" s="224">
        <v>4715</v>
      </c>
      <c r="AD38">
        <v>730</v>
      </c>
      <c r="AE38">
        <v>200</v>
      </c>
      <c r="AF38">
        <v>495</v>
      </c>
      <c r="AG38">
        <v>20</v>
      </c>
      <c r="AH38">
        <v>190</v>
      </c>
      <c r="AI38">
        <v>170</v>
      </c>
      <c r="AJ38" s="224">
        <v>1645</v>
      </c>
      <c r="AK38">
        <v>45</v>
      </c>
      <c r="AL38" s="224">
        <v>1680</v>
      </c>
      <c r="AM38" s="224">
        <v>3035</v>
      </c>
      <c r="AN38" t="s">
        <v>598</v>
      </c>
      <c r="AO38" s="224">
        <v>105111</v>
      </c>
      <c r="AP38" s="224">
        <v>112086</v>
      </c>
      <c r="AQ38" s="224">
        <v>94541</v>
      </c>
      <c r="AR38" s="224">
        <v>220863</v>
      </c>
      <c r="AS38" s="224">
        <v>52959</v>
      </c>
      <c r="AT38" s="224">
        <v>44696</v>
      </c>
      <c r="AU38" s="224">
        <v>91436</v>
      </c>
      <c r="AV38">
        <v>738</v>
      </c>
      <c r="AW38" s="224">
        <v>29752</v>
      </c>
      <c r="AX38" s="224">
        <v>1365</v>
      </c>
      <c r="AY38" s="224">
        <v>27206</v>
      </c>
      <c r="AZ38">
        <v>495</v>
      </c>
      <c r="BA38" s="224">
        <v>85134</v>
      </c>
      <c r="BB38" s="224">
        <v>91931</v>
      </c>
      <c r="BC38" s="225">
        <v>28743.45</v>
      </c>
      <c r="BD38" s="225">
        <v>14379.57</v>
      </c>
      <c r="BE38">
        <v>317.82</v>
      </c>
      <c r="BF38" s="225">
        <v>1014.81</v>
      </c>
      <c r="BG38" s="224">
        <v>22541</v>
      </c>
      <c r="BH38">
        <v>0</v>
      </c>
      <c r="BI38" s="224">
        <v>15969</v>
      </c>
      <c r="BJ38" s="224">
        <v>17923</v>
      </c>
      <c r="BK38" s="224">
        <v>3251</v>
      </c>
      <c r="BL38" s="224">
        <v>7100</v>
      </c>
      <c r="BM38" s="224">
        <v>7800</v>
      </c>
      <c r="BN38">
        <v>550</v>
      </c>
      <c r="BO38" s="224">
        <v>7400</v>
      </c>
      <c r="BP38">
        <v>325</v>
      </c>
      <c r="BQ38">
        <v>75</v>
      </c>
      <c r="BR38">
        <v>3</v>
      </c>
      <c r="BS38">
        <v>35</v>
      </c>
      <c r="BT38">
        <v>39</v>
      </c>
      <c r="BU38">
        <v>42</v>
      </c>
      <c r="BV38">
        <v>49</v>
      </c>
      <c r="BW38" s="224">
        <v>5900</v>
      </c>
      <c r="BX38">
        <v>650</v>
      </c>
      <c r="BY38">
        <v>300</v>
      </c>
      <c r="BZ38">
        <v>950</v>
      </c>
      <c r="CA38" t="s">
        <v>598</v>
      </c>
      <c r="CB38" t="s">
        <v>598</v>
      </c>
      <c r="CC38" t="s">
        <v>598</v>
      </c>
      <c r="CD38" t="s">
        <v>598</v>
      </c>
      <c r="CE38" t="s">
        <v>598</v>
      </c>
      <c r="CF38">
        <v>7.3</v>
      </c>
      <c r="CG38">
        <v>7.4</v>
      </c>
      <c r="CH38" t="s">
        <v>598</v>
      </c>
      <c r="CI38" t="s">
        <v>598</v>
      </c>
      <c r="CJ38">
        <v>88.9</v>
      </c>
      <c r="CK38">
        <v>920</v>
      </c>
      <c r="CL38" s="224">
        <v>1020</v>
      </c>
    </row>
    <row r="39" spans="1:90" ht="14.5">
      <c r="A39" t="s">
        <v>185</v>
      </c>
      <c r="B39" t="s">
        <v>186</v>
      </c>
      <c r="C39" t="s">
        <v>187</v>
      </c>
      <c r="D39" s="224">
        <v>624748</v>
      </c>
      <c r="E39" s="224">
        <v>671589</v>
      </c>
      <c r="F39" s="224">
        <v>462787</v>
      </c>
      <c r="G39" s="224">
        <v>481654</v>
      </c>
      <c r="H39" s="224">
        <v>161961</v>
      </c>
      <c r="I39" s="224">
        <v>189935</v>
      </c>
      <c r="J39" s="224">
        <v>19761</v>
      </c>
      <c r="K39" s="224">
        <v>23319</v>
      </c>
      <c r="L39">
        <v>9.6999999999999993</v>
      </c>
      <c r="M39">
        <v>79.2</v>
      </c>
      <c r="N39">
        <v>82.7</v>
      </c>
      <c r="O39">
        <v>60.5</v>
      </c>
      <c r="P39">
        <v>60.5</v>
      </c>
      <c r="Q39" s="225">
        <v>2255</v>
      </c>
      <c r="R39" s="224">
        <v>1925</v>
      </c>
      <c r="S39" s="224">
        <v>159439</v>
      </c>
      <c r="T39">
        <v>20.100000000000001</v>
      </c>
      <c r="U39" s="224">
        <v>46636</v>
      </c>
      <c r="V39">
        <v>5.9</v>
      </c>
      <c r="W39" s="224">
        <v>77433</v>
      </c>
      <c r="X39">
        <v>5.2</v>
      </c>
      <c r="Y39">
        <v>2</v>
      </c>
      <c r="Z39">
        <v>3.1</v>
      </c>
      <c r="AA39" s="224">
        <v>7572</v>
      </c>
      <c r="AB39" s="224">
        <v>7614</v>
      </c>
      <c r="AC39" s="224">
        <v>12895</v>
      </c>
      <c r="AD39" s="224">
        <v>1475</v>
      </c>
      <c r="AE39" s="224">
        <v>1775</v>
      </c>
      <c r="AF39">
        <v>55</v>
      </c>
      <c r="AG39" t="s">
        <v>597</v>
      </c>
      <c r="AH39">
        <v>845</v>
      </c>
      <c r="AI39" s="224">
        <v>4315</v>
      </c>
      <c r="AJ39">
        <v>50</v>
      </c>
      <c r="AK39" t="s">
        <v>597</v>
      </c>
      <c r="AL39" s="224">
        <v>3990</v>
      </c>
      <c r="AM39" s="224">
        <v>8905</v>
      </c>
      <c r="AN39">
        <v>67.900000000000006</v>
      </c>
      <c r="AO39" s="224">
        <v>455923</v>
      </c>
      <c r="AP39" s="224">
        <v>438547</v>
      </c>
      <c r="AQ39" s="224">
        <v>414836</v>
      </c>
      <c r="AR39" s="224">
        <v>632440</v>
      </c>
      <c r="AS39" s="224">
        <v>169627</v>
      </c>
      <c r="AT39" s="224">
        <v>201501</v>
      </c>
      <c r="AU39" s="224">
        <v>360608</v>
      </c>
      <c r="AV39" s="224">
        <v>7986</v>
      </c>
      <c r="AW39" s="224">
        <v>115111</v>
      </c>
      <c r="AX39" s="224">
        <v>6145</v>
      </c>
      <c r="AY39" s="224">
        <v>156450</v>
      </c>
      <c r="AZ39" s="224">
        <v>24663</v>
      </c>
      <c r="BA39" s="224">
        <v>421045</v>
      </c>
      <c r="BB39" s="224">
        <v>385271</v>
      </c>
      <c r="BC39" s="225">
        <v>40493.230000000003</v>
      </c>
      <c r="BD39" s="225">
        <v>25121.06</v>
      </c>
      <c r="BE39">
        <v>368.76</v>
      </c>
      <c r="BF39" s="225">
        <v>1093.25</v>
      </c>
      <c r="BG39" s="224">
        <v>71411</v>
      </c>
      <c r="BH39">
        <v>0</v>
      </c>
      <c r="BI39" s="224">
        <v>49418</v>
      </c>
      <c r="BJ39" s="224">
        <v>112276</v>
      </c>
      <c r="BK39" s="224">
        <v>3467</v>
      </c>
      <c r="BL39" s="224">
        <v>19500</v>
      </c>
      <c r="BM39" s="224">
        <v>22000</v>
      </c>
      <c r="BN39" s="224">
        <v>2000</v>
      </c>
      <c r="BO39" s="224">
        <v>18000</v>
      </c>
      <c r="BP39" s="224">
        <v>3800</v>
      </c>
      <c r="BQ39">
        <v>82</v>
      </c>
      <c r="BR39">
        <v>2</v>
      </c>
      <c r="BS39">
        <v>13</v>
      </c>
      <c r="BT39">
        <v>47</v>
      </c>
      <c r="BU39">
        <v>43</v>
      </c>
      <c r="BV39">
        <v>80</v>
      </c>
      <c r="BW39" s="224">
        <v>15500</v>
      </c>
      <c r="BX39" s="224">
        <v>1700</v>
      </c>
      <c r="BY39" s="224">
        <v>1300</v>
      </c>
      <c r="BZ39" s="224">
        <v>3300</v>
      </c>
      <c r="CA39">
        <v>19.3</v>
      </c>
      <c r="CB39">
        <v>19.899999999999999</v>
      </c>
      <c r="CC39">
        <v>18.8</v>
      </c>
      <c r="CD39">
        <v>79.900000000000006</v>
      </c>
      <c r="CE39">
        <v>75.7</v>
      </c>
      <c r="CF39">
        <v>7.3</v>
      </c>
      <c r="CG39">
        <v>7.4</v>
      </c>
      <c r="CH39">
        <v>72.599999999999994</v>
      </c>
      <c r="CI39">
        <v>71.8</v>
      </c>
      <c r="CJ39">
        <v>79.599999999999994</v>
      </c>
      <c r="CK39" s="224">
        <v>9085</v>
      </c>
      <c r="CL39" s="224">
        <v>10675</v>
      </c>
    </row>
    <row r="40" spans="1:90" ht="14.5">
      <c r="A40" t="s">
        <v>188</v>
      </c>
      <c r="B40" t="s">
        <v>189</v>
      </c>
      <c r="C40" t="s">
        <v>190</v>
      </c>
      <c r="D40" s="224">
        <v>625451</v>
      </c>
      <c r="E40" s="224">
        <v>698983</v>
      </c>
      <c r="F40" s="224">
        <v>435881</v>
      </c>
      <c r="G40" s="224">
        <v>472197</v>
      </c>
      <c r="H40" s="224">
        <v>189570</v>
      </c>
      <c r="I40" s="224">
        <v>226786</v>
      </c>
      <c r="J40" s="224">
        <v>27455</v>
      </c>
      <c r="K40" s="224">
        <v>31518</v>
      </c>
      <c r="L40">
        <v>9.1999999999999993</v>
      </c>
      <c r="M40">
        <v>80.599999999999994</v>
      </c>
      <c r="N40">
        <v>84.6</v>
      </c>
      <c r="O40">
        <v>63.7</v>
      </c>
      <c r="P40">
        <v>64</v>
      </c>
      <c r="Q40" s="225">
        <v>2430</v>
      </c>
      <c r="R40" s="224">
        <v>2120</v>
      </c>
      <c r="S40" s="224">
        <v>158330</v>
      </c>
      <c r="T40">
        <v>19.5</v>
      </c>
      <c r="U40" s="224">
        <v>41780</v>
      </c>
      <c r="V40">
        <v>5.0999999999999996</v>
      </c>
      <c r="W40" s="224">
        <v>74744</v>
      </c>
      <c r="X40">
        <v>5.0999999999999996</v>
      </c>
      <c r="Y40">
        <v>1.7</v>
      </c>
      <c r="Z40">
        <v>2.8</v>
      </c>
      <c r="AA40" s="224">
        <v>8344</v>
      </c>
      <c r="AB40" s="224">
        <v>8642</v>
      </c>
      <c r="AC40" s="224">
        <v>13860</v>
      </c>
      <c r="AD40" s="224">
        <v>1590</v>
      </c>
      <c r="AE40" s="224">
        <v>2035</v>
      </c>
      <c r="AF40">
        <v>755</v>
      </c>
      <c r="AG40" t="s">
        <v>597</v>
      </c>
      <c r="AH40">
        <v>770</v>
      </c>
      <c r="AI40" s="224">
        <v>3585</v>
      </c>
      <c r="AJ40">
        <v>210</v>
      </c>
      <c r="AK40" t="s">
        <v>597</v>
      </c>
      <c r="AL40" s="224">
        <v>5030</v>
      </c>
      <c r="AM40" s="224">
        <v>8830</v>
      </c>
      <c r="AN40">
        <v>67.8</v>
      </c>
      <c r="AO40" s="224">
        <v>471215</v>
      </c>
      <c r="AP40" s="224">
        <v>506581</v>
      </c>
      <c r="AQ40" s="224">
        <v>414284</v>
      </c>
      <c r="AR40" s="224">
        <v>706399</v>
      </c>
      <c r="AS40" s="224">
        <v>167599</v>
      </c>
      <c r="AT40" s="224">
        <v>235571</v>
      </c>
      <c r="AU40" s="224">
        <v>377014</v>
      </c>
      <c r="AV40" s="224">
        <v>3390</v>
      </c>
      <c r="AW40" s="224">
        <v>108033</v>
      </c>
      <c r="AX40" s="224">
        <v>15771</v>
      </c>
      <c r="AY40" s="224">
        <v>128996</v>
      </c>
      <c r="AZ40" s="224">
        <v>15236</v>
      </c>
      <c r="BA40" s="224">
        <v>370023</v>
      </c>
      <c r="BB40" s="224">
        <v>392250</v>
      </c>
      <c r="BC40" s="225">
        <v>31447.71</v>
      </c>
      <c r="BD40" s="225">
        <v>26508.27</v>
      </c>
      <c r="BE40">
        <v>362.11</v>
      </c>
      <c r="BF40" s="225">
        <v>1108.28</v>
      </c>
      <c r="BG40" s="224">
        <v>98753</v>
      </c>
      <c r="BH40">
        <v>0</v>
      </c>
      <c r="BI40" s="224">
        <v>32249</v>
      </c>
      <c r="BJ40" s="224">
        <v>38840</v>
      </c>
      <c r="BK40" s="224">
        <v>3949</v>
      </c>
      <c r="BL40" s="224">
        <v>20000</v>
      </c>
      <c r="BM40" s="224">
        <v>21500</v>
      </c>
      <c r="BN40" s="224">
        <v>1000</v>
      </c>
      <c r="BO40" s="224">
        <v>20500</v>
      </c>
      <c r="BP40" s="224">
        <v>1100</v>
      </c>
      <c r="BQ40">
        <v>79</v>
      </c>
      <c r="BR40">
        <v>5</v>
      </c>
      <c r="BS40">
        <v>16</v>
      </c>
      <c r="BT40">
        <v>45</v>
      </c>
      <c r="BU40">
        <v>44</v>
      </c>
      <c r="BV40">
        <v>83</v>
      </c>
      <c r="BW40" s="224">
        <v>15500</v>
      </c>
      <c r="BX40" s="224">
        <v>2100</v>
      </c>
      <c r="BY40">
        <v>800</v>
      </c>
      <c r="BZ40" s="224">
        <v>3400</v>
      </c>
      <c r="CA40">
        <v>19.399999999999999</v>
      </c>
      <c r="CB40">
        <v>20.100000000000001</v>
      </c>
      <c r="CC40">
        <v>18.899999999999999</v>
      </c>
      <c r="CD40">
        <v>79.900000000000006</v>
      </c>
      <c r="CE40">
        <v>75.8</v>
      </c>
      <c r="CF40">
        <v>7</v>
      </c>
      <c r="CG40">
        <v>7.2</v>
      </c>
      <c r="CH40">
        <v>73.099999999999994</v>
      </c>
      <c r="CI40">
        <v>74.8</v>
      </c>
      <c r="CJ40">
        <v>88.5</v>
      </c>
      <c r="CK40" s="224">
        <v>3360</v>
      </c>
      <c r="CL40" s="224">
        <v>2955</v>
      </c>
    </row>
    <row r="41" spans="1:90" ht="14.5">
      <c r="A41" t="s">
        <v>191</v>
      </c>
      <c r="B41" t="s">
        <v>192</v>
      </c>
      <c r="C41" t="s">
        <v>193</v>
      </c>
      <c r="D41" s="224">
        <v>239858</v>
      </c>
      <c r="E41" s="224">
        <v>254934</v>
      </c>
      <c r="F41" s="224">
        <v>183826</v>
      </c>
      <c r="G41" s="224">
        <v>190906</v>
      </c>
      <c r="H41" s="224">
        <v>56032</v>
      </c>
      <c r="I41" s="224">
        <v>64028</v>
      </c>
      <c r="J41" s="224">
        <v>6868</v>
      </c>
      <c r="K41" s="224">
        <v>7723</v>
      </c>
      <c r="L41">
        <v>9.1</v>
      </c>
      <c r="M41">
        <v>76.900000000000006</v>
      </c>
      <c r="N41">
        <v>81.3</v>
      </c>
      <c r="O41">
        <v>55.1</v>
      </c>
      <c r="P41">
        <v>55.4</v>
      </c>
      <c r="Q41" s="225">
        <v>1045</v>
      </c>
      <c r="R41">
        <v>900</v>
      </c>
      <c r="S41" s="224">
        <v>62418</v>
      </c>
      <c r="T41">
        <v>20.3</v>
      </c>
      <c r="U41" s="224">
        <v>21137</v>
      </c>
      <c r="V41">
        <v>6.9</v>
      </c>
      <c r="W41" s="224">
        <v>28132</v>
      </c>
      <c r="X41">
        <v>4.0999999999999996</v>
      </c>
      <c r="Y41">
        <v>2.2000000000000002</v>
      </c>
      <c r="Z41">
        <v>3.4</v>
      </c>
      <c r="AA41" s="224">
        <v>2500</v>
      </c>
      <c r="AB41" s="224">
        <v>2567</v>
      </c>
      <c r="AC41" s="224">
        <v>4830</v>
      </c>
      <c r="AD41">
        <v>715</v>
      </c>
      <c r="AE41">
        <v>370</v>
      </c>
      <c r="AF41">
        <v>315</v>
      </c>
      <c r="AG41" t="s">
        <v>597</v>
      </c>
      <c r="AH41">
        <v>430</v>
      </c>
      <c r="AI41">
        <v>355</v>
      </c>
      <c r="AJ41" s="224">
        <v>1045</v>
      </c>
      <c r="AK41" t="s">
        <v>597</v>
      </c>
      <c r="AL41" s="224">
        <v>1665</v>
      </c>
      <c r="AM41" s="224">
        <v>3165</v>
      </c>
      <c r="AN41">
        <v>61.8</v>
      </c>
      <c r="AO41" s="224">
        <v>175355</v>
      </c>
      <c r="AP41" s="224">
        <v>195109</v>
      </c>
      <c r="AQ41" s="224">
        <v>159044</v>
      </c>
      <c r="AR41" s="224">
        <v>289465</v>
      </c>
      <c r="AS41" s="224">
        <v>77850</v>
      </c>
      <c r="AT41" s="224">
        <v>73682</v>
      </c>
      <c r="AU41" s="224">
        <v>134579</v>
      </c>
      <c r="AV41">
        <v>618</v>
      </c>
      <c r="AW41" s="224">
        <v>52781</v>
      </c>
      <c r="AX41" s="224">
        <v>6185</v>
      </c>
      <c r="AY41" s="224">
        <v>55031</v>
      </c>
      <c r="AZ41" s="224">
        <v>6196</v>
      </c>
      <c r="BA41" s="224">
        <v>127077</v>
      </c>
      <c r="BB41" s="224">
        <v>140775</v>
      </c>
      <c r="BC41" s="225">
        <v>40917.72</v>
      </c>
      <c r="BD41" s="225">
        <v>22953.24</v>
      </c>
      <c r="BE41">
        <v>411.03</v>
      </c>
      <c r="BF41" s="225">
        <v>1247.3800000000001</v>
      </c>
      <c r="BG41" s="224">
        <v>36743</v>
      </c>
      <c r="BH41">
        <v>0</v>
      </c>
      <c r="BI41" s="224">
        <v>9331</v>
      </c>
      <c r="BJ41" s="224">
        <v>20949</v>
      </c>
      <c r="BK41" s="224">
        <v>3461</v>
      </c>
      <c r="BL41" s="224">
        <v>7700</v>
      </c>
      <c r="BM41" s="224">
        <v>8200</v>
      </c>
      <c r="BN41" t="s">
        <v>597</v>
      </c>
      <c r="BO41" s="224">
        <v>7400</v>
      </c>
      <c r="BP41">
        <v>800</v>
      </c>
      <c r="BQ41">
        <v>80</v>
      </c>
      <c r="BR41">
        <v>2</v>
      </c>
      <c r="BS41">
        <v>11</v>
      </c>
      <c r="BT41">
        <v>42</v>
      </c>
      <c r="BU41">
        <v>44</v>
      </c>
      <c r="BV41">
        <v>89</v>
      </c>
      <c r="BW41" s="224">
        <v>6100</v>
      </c>
      <c r="BX41">
        <v>600</v>
      </c>
      <c r="BY41">
        <v>250</v>
      </c>
      <c r="BZ41" s="224">
        <v>1300</v>
      </c>
      <c r="CA41">
        <v>19.5</v>
      </c>
      <c r="CB41">
        <v>20.5</v>
      </c>
      <c r="CC41">
        <v>18.7</v>
      </c>
      <c r="CD41">
        <v>81.5</v>
      </c>
      <c r="CE41">
        <v>73.5</v>
      </c>
      <c r="CF41">
        <v>6.5</v>
      </c>
      <c r="CG41">
        <v>6.5</v>
      </c>
      <c r="CH41">
        <v>75.3</v>
      </c>
      <c r="CI41">
        <v>75.3</v>
      </c>
      <c r="CJ41">
        <v>86.3</v>
      </c>
      <c r="CK41">
        <v>695</v>
      </c>
      <c r="CL41">
        <v>645</v>
      </c>
    </row>
    <row r="42" spans="1:90" ht="14.5">
      <c r="A42" t="s">
        <v>194</v>
      </c>
      <c r="B42" t="s">
        <v>195</v>
      </c>
      <c r="C42" t="s">
        <v>196</v>
      </c>
      <c r="D42" s="224">
        <v>302537</v>
      </c>
      <c r="E42" s="224">
        <v>325271</v>
      </c>
      <c r="F42" s="224">
        <v>200390</v>
      </c>
      <c r="G42" s="224">
        <v>203312</v>
      </c>
      <c r="H42" s="224">
        <v>102147</v>
      </c>
      <c r="I42" s="224">
        <v>121959</v>
      </c>
      <c r="J42" s="224">
        <v>14879</v>
      </c>
      <c r="K42" s="224">
        <v>17592</v>
      </c>
      <c r="L42">
        <v>9.3000000000000007</v>
      </c>
      <c r="M42">
        <v>81.099999999999994</v>
      </c>
      <c r="N42">
        <v>84.8</v>
      </c>
      <c r="O42">
        <v>65.3</v>
      </c>
      <c r="P42">
        <v>65.599999999999994</v>
      </c>
      <c r="Q42" s="225">
        <v>1065</v>
      </c>
      <c r="R42">
        <v>950</v>
      </c>
      <c r="S42" s="224">
        <v>75077</v>
      </c>
      <c r="T42">
        <v>19.8</v>
      </c>
      <c r="U42" s="224">
        <v>19336</v>
      </c>
      <c r="V42">
        <v>5.0999999999999996</v>
      </c>
      <c r="W42" s="224">
        <v>35512</v>
      </c>
      <c r="X42">
        <v>5.2</v>
      </c>
      <c r="Y42">
        <v>1.7</v>
      </c>
      <c r="Z42">
        <v>2.9</v>
      </c>
      <c r="AA42" s="224">
        <v>4157</v>
      </c>
      <c r="AB42" s="224">
        <v>4505</v>
      </c>
      <c r="AC42" s="224">
        <v>5705</v>
      </c>
      <c r="AD42">
        <v>620</v>
      </c>
      <c r="AE42">
        <v>945</v>
      </c>
      <c r="AF42" t="s">
        <v>597</v>
      </c>
      <c r="AG42" t="s">
        <v>597</v>
      </c>
      <c r="AH42">
        <v>285</v>
      </c>
      <c r="AI42" s="224">
        <v>1960</v>
      </c>
      <c r="AJ42" t="s">
        <v>597</v>
      </c>
      <c r="AK42" t="s">
        <v>597</v>
      </c>
      <c r="AL42" s="224">
        <v>1765</v>
      </c>
      <c r="AM42" s="224">
        <v>3940</v>
      </c>
      <c r="AN42">
        <v>68.7</v>
      </c>
      <c r="AO42" s="224">
        <v>218721</v>
      </c>
      <c r="AP42" s="224">
        <v>239705</v>
      </c>
      <c r="AQ42" s="224">
        <v>204756</v>
      </c>
      <c r="AR42" s="224">
        <v>418514</v>
      </c>
      <c r="AS42" s="224">
        <v>98003</v>
      </c>
      <c r="AT42" s="224">
        <v>102737</v>
      </c>
      <c r="AU42" s="224">
        <v>181311</v>
      </c>
      <c r="AV42" s="224">
        <v>1133</v>
      </c>
      <c r="AW42" s="224">
        <v>59368</v>
      </c>
      <c r="AX42" s="224">
        <v>5895</v>
      </c>
      <c r="AY42" s="224">
        <v>63481</v>
      </c>
      <c r="AZ42" s="224">
        <v>5649</v>
      </c>
      <c r="BA42" s="224">
        <v>166547</v>
      </c>
      <c r="BB42" s="224">
        <v>186960</v>
      </c>
      <c r="BC42" s="225">
        <v>49386.97</v>
      </c>
      <c r="BD42" s="225">
        <v>25327.919999999998</v>
      </c>
      <c r="BE42">
        <v>487.61</v>
      </c>
      <c r="BF42">
        <v>890.73</v>
      </c>
      <c r="BG42" s="224">
        <v>42974</v>
      </c>
      <c r="BH42">
        <v>0</v>
      </c>
      <c r="BI42" s="224">
        <v>22974</v>
      </c>
      <c r="BJ42" s="224">
        <v>40485</v>
      </c>
      <c r="BK42" s="224">
        <v>3283</v>
      </c>
      <c r="BL42" s="224">
        <v>9200</v>
      </c>
      <c r="BM42" s="224">
        <v>10500</v>
      </c>
      <c r="BN42">
        <v>500</v>
      </c>
      <c r="BO42" s="224">
        <v>9600</v>
      </c>
      <c r="BP42">
        <v>650</v>
      </c>
      <c r="BQ42">
        <v>76</v>
      </c>
      <c r="BR42">
        <v>9</v>
      </c>
      <c r="BS42">
        <v>21</v>
      </c>
      <c r="BT42">
        <v>36</v>
      </c>
      <c r="BU42">
        <v>43</v>
      </c>
      <c r="BV42">
        <v>78</v>
      </c>
      <c r="BW42" s="224">
        <v>7100</v>
      </c>
      <c r="BX42">
        <v>900</v>
      </c>
      <c r="BY42">
        <v>425</v>
      </c>
      <c r="BZ42" s="224">
        <v>1800</v>
      </c>
      <c r="CA42">
        <v>18.3</v>
      </c>
      <c r="CB42">
        <v>19.399999999999999</v>
      </c>
      <c r="CC42">
        <v>17.7</v>
      </c>
      <c r="CD42">
        <v>74.3</v>
      </c>
      <c r="CE42">
        <v>70.3</v>
      </c>
      <c r="CF42">
        <v>7.3</v>
      </c>
      <c r="CG42">
        <v>7.4</v>
      </c>
      <c r="CH42">
        <v>68.7</v>
      </c>
      <c r="CI42">
        <v>68.8</v>
      </c>
      <c r="CJ42">
        <v>89.7</v>
      </c>
      <c r="CK42" s="224">
        <v>6545</v>
      </c>
      <c r="CL42" s="224">
        <v>8600</v>
      </c>
    </row>
    <row r="43" spans="1:90" ht="14.5">
      <c r="A43" t="s">
        <v>197</v>
      </c>
      <c r="B43" t="s">
        <v>198</v>
      </c>
      <c r="C43" t="s">
        <v>199</v>
      </c>
      <c r="D43" s="224">
        <v>248864</v>
      </c>
      <c r="E43" s="224">
        <v>262645</v>
      </c>
      <c r="F43" s="224">
        <v>185690</v>
      </c>
      <c r="G43" s="224">
        <v>195006</v>
      </c>
      <c r="H43" s="224">
        <v>63174</v>
      </c>
      <c r="I43" s="224">
        <v>67639</v>
      </c>
      <c r="J43" s="224">
        <v>7686</v>
      </c>
      <c r="K43" s="224">
        <v>9444</v>
      </c>
      <c r="L43">
        <v>9.6999999999999993</v>
      </c>
      <c r="M43">
        <v>78.900000000000006</v>
      </c>
      <c r="N43">
        <v>83</v>
      </c>
      <c r="O43">
        <v>59.6</v>
      </c>
      <c r="P43">
        <v>58.9</v>
      </c>
      <c r="Q43" s="225">
        <v>1070</v>
      </c>
      <c r="R43">
        <v>955</v>
      </c>
      <c r="S43" s="224">
        <v>62567</v>
      </c>
      <c r="T43">
        <v>19.3</v>
      </c>
      <c r="U43" s="224">
        <v>19636</v>
      </c>
      <c r="V43">
        <v>6.1</v>
      </c>
      <c r="W43" s="224">
        <v>31516</v>
      </c>
      <c r="X43">
        <v>4.9000000000000004</v>
      </c>
      <c r="Y43">
        <v>2.2000000000000002</v>
      </c>
      <c r="Z43">
        <v>3.2</v>
      </c>
      <c r="AA43" s="224">
        <v>2431</v>
      </c>
      <c r="AB43" s="224">
        <v>2546</v>
      </c>
      <c r="AC43" s="224">
        <v>6105</v>
      </c>
      <c r="AD43">
        <v>790</v>
      </c>
      <c r="AE43">
        <v>840</v>
      </c>
      <c r="AF43" t="s">
        <v>597</v>
      </c>
      <c r="AG43" t="s">
        <v>597</v>
      </c>
      <c r="AH43">
        <v>195</v>
      </c>
      <c r="AI43" s="224">
        <v>2570</v>
      </c>
      <c r="AJ43" t="s">
        <v>597</v>
      </c>
      <c r="AK43" t="s">
        <v>597</v>
      </c>
      <c r="AL43" s="224">
        <v>1890</v>
      </c>
      <c r="AM43" s="224">
        <v>4215</v>
      </c>
      <c r="AN43">
        <v>70</v>
      </c>
      <c r="AO43" s="224">
        <v>167414</v>
      </c>
      <c r="AP43" s="224">
        <v>170653</v>
      </c>
      <c r="AQ43" t="s">
        <v>598</v>
      </c>
      <c r="AR43" t="s">
        <v>598</v>
      </c>
      <c r="AS43" s="224">
        <v>68201</v>
      </c>
      <c r="AT43" s="224">
        <v>68733</v>
      </c>
      <c r="AU43" s="224">
        <v>131066</v>
      </c>
      <c r="AV43" s="224">
        <v>1551</v>
      </c>
      <c r="AW43" s="224">
        <v>47696</v>
      </c>
      <c r="AX43" s="224">
        <v>6914</v>
      </c>
      <c r="AY43" s="224">
        <v>50245</v>
      </c>
      <c r="AZ43" s="224">
        <v>7600</v>
      </c>
      <c r="BA43" s="224">
        <v>128550</v>
      </c>
      <c r="BB43" s="224">
        <v>138666</v>
      </c>
      <c r="BC43" s="225">
        <v>36378.31</v>
      </c>
      <c r="BD43" s="225">
        <v>16586.240000000002</v>
      </c>
      <c r="BE43">
        <v>357.69</v>
      </c>
      <c r="BF43" s="225">
        <v>1118.3900000000001</v>
      </c>
      <c r="BG43" s="224">
        <v>30434</v>
      </c>
      <c r="BH43">
        <v>15</v>
      </c>
      <c r="BI43" s="224">
        <v>19634</v>
      </c>
      <c r="BJ43" s="224">
        <v>33016</v>
      </c>
      <c r="BK43" s="224">
        <v>2403</v>
      </c>
      <c r="BL43" s="224">
        <v>6300</v>
      </c>
      <c r="BM43" s="224">
        <v>6800</v>
      </c>
      <c r="BN43">
        <v>275</v>
      </c>
      <c r="BO43" s="224">
        <v>6100</v>
      </c>
      <c r="BP43">
        <v>750</v>
      </c>
      <c r="BQ43">
        <v>82</v>
      </c>
      <c r="BR43">
        <v>3</v>
      </c>
      <c r="BS43">
        <v>22</v>
      </c>
      <c r="BT43">
        <v>42</v>
      </c>
      <c r="BU43">
        <v>43</v>
      </c>
      <c r="BV43">
        <v>66</v>
      </c>
      <c r="BW43" s="224">
        <v>5000</v>
      </c>
      <c r="BX43">
        <v>550</v>
      </c>
      <c r="BY43">
        <v>250</v>
      </c>
      <c r="BZ43" s="224">
        <v>1000</v>
      </c>
      <c r="CA43">
        <v>19.2</v>
      </c>
      <c r="CB43">
        <v>20</v>
      </c>
      <c r="CC43">
        <v>18.8</v>
      </c>
      <c r="CD43">
        <v>76.599999999999994</v>
      </c>
      <c r="CE43">
        <v>71.400000000000006</v>
      </c>
      <c r="CF43">
        <v>7.7</v>
      </c>
      <c r="CG43">
        <v>7.9</v>
      </c>
      <c r="CH43">
        <v>75.3</v>
      </c>
      <c r="CI43">
        <v>74.900000000000006</v>
      </c>
      <c r="CJ43">
        <v>66.3</v>
      </c>
      <c r="CK43" s="224">
        <v>3795</v>
      </c>
      <c r="CL43" s="224">
        <v>4195</v>
      </c>
    </row>
    <row r="44" spans="1:90" ht="14.5">
      <c r="A44" t="s">
        <v>200</v>
      </c>
      <c r="B44" t="s">
        <v>201</v>
      </c>
      <c r="C44" t="s">
        <v>202</v>
      </c>
      <c r="D44" s="224">
        <v>414911</v>
      </c>
      <c r="E44" s="224">
        <v>440140</v>
      </c>
      <c r="F44" s="224">
        <v>311868</v>
      </c>
      <c r="G44" s="224">
        <v>319743</v>
      </c>
      <c r="H44" s="224">
        <v>103043</v>
      </c>
      <c r="I44" s="224">
        <v>120397</v>
      </c>
      <c r="J44" s="224">
        <v>11853</v>
      </c>
      <c r="K44" s="224">
        <v>14466</v>
      </c>
      <c r="L44">
        <v>10.1</v>
      </c>
      <c r="M44">
        <v>77.8</v>
      </c>
      <c r="N44">
        <v>81.3</v>
      </c>
      <c r="O44">
        <v>55.9</v>
      </c>
      <c r="P44">
        <v>55.4</v>
      </c>
      <c r="Q44" s="225">
        <v>2080</v>
      </c>
      <c r="R44" s="224">
        <v>1780</v>
      </c>
      <c r="S44" s="224">
        <v>119790</v>
      </c>
      <c r="T44">
        <v>22.9</v>
      </c>
      <c r="U44" s="224">
        <v>39171</v>
      </c>
      <c r="V44">
        <v>7.5</v>
      </c>
      <c r="W44" s="224">
        <v>52678</v>
      </c>
      <c r="X44">
        <v>4.5</v>
      </c>
      <c r="Y44">
        <v>2.4</v>
      </c>
      <c r="Z44">
        <v>3.7</v>
      </c>
      <c r="AA44" s="224">
        <v>5397</v>
      </c>
      <c r="AB44" s="224">
        <v>5371</v>
      </c>
      <c r="AC44" s="224">
        <v>10140</v>
      </c>
      <c r="AD44">
        <v>560</v>
      </c>
      <c r="AE44" s="224">
        <v>1890</v>
      </c>
      <c r="AF44">
        <v>25</v>
      </c>
      <c r="AG44" t="s">
        <v>597</v>
      </c>
      <c r="AH44">
        <v>180</v>
      </c>
      <c r="AI44" s="224">
        <v>3965</v>
      </c>
      <c r="AJ44">
        <v>20</v>
      </c>
      <c r="AK44" t="s">
        <v>597</v>
      </c>
      <c r="AL44" s="224">
        <v>2875</v>
      </c>
      <c r="AM44" s="224">
        <v>7265</v>
      </c>
      <c r="AN44">
        <v>67.3</v>
      </c>
      <c r="AO44" s="224">
        <v>248230</v>
      </c>
      <c r="AP44" s="224">
        <v>265867</v>
      </c>
      <c r="AQ44" s="224">
        <v>209408</v>
      </c>
      <c r="AR44" s="224">
        <v>519949</v>
      </c>
      <c r="AS44" s="224">
        <v>94719</v>
      </c>
      <c r="AT44" s="224">
        <v>139126</v>
      </c>
      <c r="AU44" s="224">
        <v>209178</v>
      </c>
      <c r="AV44">
        <v>474</v>
      </c>
      <c r="AW44" s="224">
        <v>66166</v>
      </c>
      <c r="AX44" s="224">
        <v>3088</v>
      </c>
      <c r="AY44" s="224">
        <v>69066</v>
      </c>
      <c r="AZ44" s="224">
        <v>5561</v>
      </c>
      <c r="BA44" s="224">
        <v>215630</v>
      </c>
      <c r="BB44" s="224">
        <v>214739</v>
      </c>
      <c r="BC44" s="225">
        <v>32071.3</v>
      </c>
      <c r="BD44" s="225">
        <v>16866.349999999999</v>
      </c>
      <c r="BE44">
        <v>297.72000000000003</v>
      </c>
      <c r="BF44" s="225">
        <v>1181.21</v>
      </c>
      <c r="BG44" s="224">
        <v>58671</v>
      </c>
      <c r="BH44" s="224">
        <v>2664</v>
      </c>
      <c r="BI44" s="224">
        <v>62595</v>
      </c>
      <c r="BJ44" s="224">
        <v>80379</v>
      </c>
      <c r="BK44" s="224">
        <v>3900</v>
      </c>
      <c r="BL44" s="224">
        <v>12500</v>
      </c>
      <c r="BM44" s="224">
        <v>13500</v>
      </c>
      <c r="BN44">
        <v>600</v>
      </c>
      <c r="BO44" s="224">
        <v>12500</v>
      </c>
      <c r="BP44">
        <v>900</v>
      </c>
      <c r="BQ44">
        <v>84</v>
      </c>
      <c r="BR44">
        <v>1</v>
      </c>
      <c r="BS44">
        <v>10</v>
      </c>
      <c r="BT44">
        <v>40</v>
      </c>
      <c r="BU44">
        <v>44</v>
      </c>
      <c r="BV44">
        <v>86</v>
      </c>
      <c r="BW44" s="224">
        <v>10000</v>
      </c>
      <c r="BX44">
        <v>850</v>
      </c>
      <c r="BY44">
        <v>700</v>
      </c>
      <c r="BZ44" s="224">
        <v>2000</v>
      </c>
      <c r="CA44">
        <v>19.600000000000001</v>
      </c>
      <c r="CB44">
        <v>20.5</v>
      </c>
      <c r="CC44">
        <v>19.2</v>
      </c>
      <c r="CD44">
        <v>84</v>
      </c>
      <c r="CE44">
        <v>80.900000000000006</v>
      </c>
      <c r="CF44">
        <v>7.7</v>
      </c>
      <c r="CG44">
        <v>7.9</v>
      </c>
      <c r="CH44">
        <v>76.2</v>
      </c>
      <c r="CI44">
        <v>77.2</v>
      </c>
      <c r="CJ44">
        <v>91.5</v>
      </c>
      <c r="CK44" s="224">
        <v>2710</v>
      </c>
      <c r="CL44" s="224">
        <v>3305</v>
      </c>
    </row>
    <row r="45" spans="1:90" ht="14.5">
      <c r="A45" t="s">
        <v>203</v>
      </c>
      <c r="B45" t="s">
        <v>204</v>
      </c>
      <c r="C45" t="s">
        <v>205</v>
      </c>
      <c r="D45" s="224">
        <v>277168</v>
      </c>
      <c r="E45" s="224">
        <v>309049</v>
      </c>
      <c r="F45" s="224">
        <v>237320</v>
      </c>
      <c r="G45" s="224">
        <v>258747</v>
      </c>
      <c r="H45" s="224">
        <v>39848</v>
      </c>
      <c r="I45" s="224">
        <v>50302</v>
      </c>
      <c r="J45" s="224">
        <v>4941</v>
      </c>
      <c r="K45" s="224">
        <v>6302</v>
      </c>
      <c r="L45">
        <v>6.6</v>
      </c>
      <c r="M45">
        <v>80.599999999999994</v>
      </c>
      <c r="N45">
        <v>85.4</v>
      </c>
      <c r="O45">
        <v>62.6</v>
      </c>
      <c r="P45">
        <v>62.8</v>
      </c>
      <c r="Q45">
        <v>760</v>
      </c>
      <c r="R45">
        <v>675</v>
      </c>
      <c r="S45" s="224">
        <v>44811</v>
      </c>
      <c r="T45">
        <v>12.2</v>
      </c>
      <c r="U45" s="224">
        <v>15300</v>
      </c>
      <c r="V45">
        <v>4.2</v>
      </c>
      <c r="W45" s="224">
        <v>24309</v>
      </c>
      <c r="X45">
        <v>3.4</v>
      </c>
      <c r="Y45">
        <v>1.7</v>
      </c>
      <c r="Z45">
        <v>1.9</v>
      </c>
      <c r="AA45" s="224">
        <v>1535</v>
      </c>
      <c r="AB45" s="224">
        <v>1456</v>
      </c>
      <c r="AC45" s="224">
        <v>5050</v>
      </c>
      <c r="AD45">
        <v>255</v>
      </c>
      <c r="AE45" s="224">
        <v>1340</v>
      </c>
      <c r="AF45" t="s">
        <v>597</v>
      </c>
      <c r="AG45" t="s">
        <v>597</v>
      </c>
      <c r="AH45">
        <v>115</v>
      </c>
      <c r="AI45" s="224">
        <v>2395</v>
      </c>
      <c r="AJ45" t="s">
        <v>597</v>
      </c>
      <c r="AK45" t="s">
        <v>597</v>
      </c>
      <c r="AL45" s="224">
        <v>1840</v>
      </c>
      <c r="AM45" s="224">
        <v>3210</v>
      </c>
      <c r="AN45">
        <v>52.6</v>
      </c>
      <c r="AO45" s="224">
        <v>145009</v>
      </c>
      <c r="AP45" s="224">
        <v>157007</v>
      </c>
      <c r="AQ45" s="224">
        <v>125126</v>
      </c>
      <c r="AR45" s="224">
        <v>312402</v>
      </c>
      <c r="AS45" s="224">
        <v>56600</v>
      </c>
      <c r="AT45" s="224">
        <v>55071</v>
      </c>
      <c r="AU45" s="224">
        <v>99449</v>
      </c>
      <c r="AV45" s="224">
        <v>3051</v>
      </c>
      <c r="AW45" s="224">
        <v>36363</v>
      </c>
      <c r="AX45" s="224">
        <v>16658</v>
      </c>
      <c r="AY45" s="224">
        <v>48383</v>
      </c>
      <c r="AZ45" s="224">
        <v>22000</v>
      </c>
      <c r="BA45" s="224">
        <v>110626</v>
      </c>
      <c r="BB45" s="224">
        <v>121449</v>
      </c>
      <c r="BC45" s="225">
        <v>30604.89</v>
      </c>
      <c r="BD45" s="225">
        <v>20291.59</v>
      </c>
      <c r="BE45">
        <v>230.54</v>
      </c>
      <c r="BF45" s="225">
        <v>1425.97</v>
      </c>
      <c r="BG45" s="224">
        <v>31411</v>
      </c>
      <c r="BH45">
        <v>0</v>
      </c>
      <c r="BI45" s="224">
        <v>16178</v>
      </c>
      <c r="BJ45" s="224">
        <v>28789</v>
      </c>
      <c r="BK45">
        <v>320</v>
      </c>
      <c r="BL45" s="224">
        <v>5600</v>
      </c>
      <c r="BM45" s="224">
        <v>7000</v>
      </c>
      <c r="BN45">
        <v>800</v>
      </c>
      <c r="BO45" s="224">
        <v>6500</v>
      </c>
      <c r="BP45">
        <v>450</v>
      </c>
      <c r="BQ45">
        <v>74</v>
      </c>
      <c r="BR45">
        <v>11</v>
      </c>
      <c r="BS45">
        <v>54</v>
      </c>
      <c r="BT45">
        <v>32</v>
      </c>
      <c r="BU45">
        <v>44</v>
      </c>
      <c r="BV45">
        <v>10</v>
      </c>
      <c r="BW45" s="224">
        <v>5500</v>
      </c>
      <c r="BX45">
        <v>600</v>
      </c>
      <c r="BY45">
        <v>300</v>
      </c>
      <c r="BZ45">
        <v>650</v>
      </c>
      <c r="CA45">
        <v>16.8</v>
      </c>
      <c r="CB45">
        <v>16.899999999999999</v>
      </c>
      <c r="CC45">
        <v>16.7</v>
      </c>
      <c r="CD45">
        <v>59.7</v>
      </c>
      <c r="CE45">
        <v>57.2</v>
      </c>
      <c r="CF45">
        <v>7.1</v>
      </c>
      <c r="CG45">
        <v>7.1</v>
      </c>
      <c r="CH45">
        <v>56.6</v>
      </c>
      <c r="CI45">
        <v>57</v>
      </c>
      <c r="CJ45">
        <v>73.8</v>
      </c>
      <c r="CK45" s="224">
        <v>1710</v>
      </c>
      <c r="CL45" s="224">
        <v>1955</v>
      </c>
    </row>
    <row r="46" spans="1:90" ht="14.5">
      <c r="A46" t="s">
        <v>206</v>
      </c>
      <c r="B46" t="s">
        <v>207</v>
      </c>
      <c r="C46" t="s">
        <v>208</v>
      </c>
      <c r="D46" s="224">
        <v>272571</v>
      </c>
      <c r="E46" s="224">
        <v>297457</v>
      </c>
      <c r="F46" s="224">
        <v>190200</v>
      </c>
      <c r="G46" s="224">
        <v>198201</v>
      </c>
      <c r="H46" s="224">
        <v>82371</v>
      </c>
      <c r="I46" s="224">
        <v>99256</v>
      </c>
      <c r="J46" s="224">
        <v>9845</v>
      </c>
      <c r="K46" s="224">
        <v>13200</v>
      </c>
      <c r="L46">
        <v>8.9</v>
      </c>
      <c r="M46">
        <v>80</v>
      </c>
      <c r="N46">
        <v>83.4</v>
      </c>
      <c r="O46">
        <v>59.5</v>
      </c>
      <c r="P46">
        <v>59.5</v>
      </c>
      <c r="Q46">
        <v>845</v>
      </c>
      <c r="R46">
        <v>745</v>
      </c>
      <c r="S46" s="224">
        <v>63601</v>
      </c>
      <c r="T46">
        <v>18.600000000000001</v>
      </c>
      <c r="U46" s="224">
        <v>18390</v>
      </c>
      <c r="V46">
        <v>5.4</v>
      </c>
      <c r="W46" s="224">
        <v>30618</v>
      </c>
      <c r="X46">
        <v>4.7</v>
      </c>
      <c r="Y46">
        <v>1.7</v>
      </c>
      <c r="Z46">
        <v>3</v>
      </c>
      <c r="AA46" s="224">
        <v>5026</v>
      </c>
      <c r="AB46" s="224">
        <v>5731</v>
      </c>
      <c r="AC46" s="224">
        <v>7450</v>
      </c>
      <c r="AD46">
        <v>870</v>
      </c>
      <c r="AE46">
        <v>460</v>
      </c>
      <c r="AF46" t="s">
        <v>597</v>
      </c>
      <c r="AG46" t="s">
        <v>597</v>
      </c>
      <c r="AH46">
        <v>240</v>
      </c>
      <c r="AI46" s="224">
        <v>2330</v>
      </c>
      <c r="AJ46" t="s">
        <v>597</v>
      </c>
      <c r="AK46" t="s">
        <v>597</v>
      </c>
      <c r="AL46" s="224">
        <v>1845</v>
      </c>
      <c r="AM46" s="224">
        <v>5605</v>
      </c>
      <c r="AN46">
        <v>65.400000000000006</v>
      </c>
      <c r="AO46" s="224">
        <v>227368</v>
      </c>
      <c r="AP46" s="224">
        <v>267729</v>
      </c>
      <c r="AQ46" s="224">
        <v>185567</v>
      </c>
      <c r="AR46" s="224">
        <v>364421</v>
      </c>
      <c r="AS46" s="224">
        <v>84019</v>
      </c>
      <c r="AT46" s="224">
        <v>127723</v>
      </c>
      <c r="AU46" s="224">
        <v>180867</v>
      </c>
      <c r="AV46" s="224">
        <v>3353</v>
      </c>
      <c r="AW46" s="224">
        <v>53530</v>
      </c>
      <c r="AX46" s="224">
        <v>13027</v>
      </c>
      <c r="AY46" s="224">
        <v>33598</v>
      </c>
      <c r="AZ46" s="224">
        <v>12075</v>
      </c>
      <c r="BA46" s="224">
        <v>164099</v>
      </c>
      <c r="BB46" s="224">
        <v>192942</v>
      </c>
      <c r="BC46" s="225">
        <v>41541.46</v>
      </c>
      <c r="BD46" s="225">
        <v>20748.97</v>
      </c>
      <c r="BE46">
        <v>440.83</v>
      </c>
      <c r="BF46" s="225">
        <v>1418.05</v>
      </c>
      <c r="BG46" s="224">
        <v>71339</v>
      </c>
      <c r="BH46">
        <v>0</v>
      </c>
      <c r="BI46" s="224">
        <v>13761</v>
      </c>
      <c r="BJ46" s="224">
        <v>52253</v>
      </c>
      <c r="BK46" s="224">
        <v>1798</v>
      </c>
      <c r="BL46" s="224">
        <v>8900</v>
      </c>
      <c r="BM46" s="224">
        <v>10000</v>
      </c>
      <c r="BN46">
        <v>350</v>
      </c>
      <c r="BO46" s="224">
        <v>8500</v>
      </c>
      <c r="BP46" s="224">
        <v>1500</v>
      </c>
      <c r="BQ46">
        <v>82</v>
      </c>
      <c r="BR46">
        <v>2</v>
      </c>
      <c r="BS46">
        <v>18</v>
      </c>
      <c r="BT46">
        <v>45</v>
      </c>
      <c r="BU46">
        <v>43</v>
      </c>
      <c r="BV46">
        <v>83</v>
      </c>
      <c r="BW46" s="224">
        <v>7100</v>
      </c>
      <c r="BX46">
        <v>850</v>
      </c>
      <c r="BY46">
        <v>300</v>
      </c>
      <c r="BZ46" s="224">
        <v>1800</v>
      </c>
      <c r="CA46">
        <v>19.100000000000001</v>
      </c>
      <c r="CB46">
        <v>19.600000000000001</v>
      </c>
      <c r="CC46">
        <v>18.8</v>
      </c>
      <c r="CD46">
        <v>79.2</v>
      </c>
      <c r="CE46">
        <v>78.900000000000006</v>
      </c>
      <c r="CF46">
        <v>7.6</v>
      </c>
      <c r="CG46">
        <v>7.7</v>
      </c>
      <c r="CH46">
        <v>72.400000000000006</v>
      </c>
      <c r="CI46">
        <v>71.900000000000006</v>
      </c>
      <c r="CJ46">
        <v>74.8</v>
      </c>
      <c r="CK46" s="224">
        <v>3415</v>
      </c>
      <c r="CL46" s="224">
        <v>3735</v>
      </c>
    </row>
    <row r="47" spans="1:90" ht="14.5">
      <c r="A47" t="s">
        <v>209</v>
      </c>
      <c r="B47" t="s">
        <v>210</v>
      </c>
      <c r="C47" t="s">
        <v>211</v>
      </c>
      <c r="D47" s="224">
        <v>436120</v>
      </c>
      <c r="E47" s="224">
        <v>459232</v>
      </c>
      <c r="F47" s="224">
        <v>301681</v>
      </c>
      <c r="G47" s="224">
        <v>306925</v>
      </c>
      <c r="H47" s="224">
        <v>134439</v>
      </c>
      <c r="I47" s="224">
        <v>152307</v>
      </c>
      <c r="J47" s="224">
        <v>20941</v>
      </c>
      <c r="K47" s="224">
        <v>22455</v>
      </c>
      <c r="L47">
        <v>9.4</v>
      </c>
      <c r="M47">
        <v>80.2</v>
      </c>
      <c r="N47">
        <v>83.8</v>
      </c>
      <c r="O47">
        <v>59.2</v>
      </c>
      <c r="P47">
        <v>59.9</v>
      </c>
      <c r="Q47" s="225">
        <v>1690</v>
      </c>
      <c r="R47" s="224">
        <v>1485</v>
      </c>
      <c r="S47" s="224">
        <v>110553</v>
      </c>
      <c r="T47">
        <v>20.3</v>
      </c>
      <c r="U47" s="224">
        <v>31149</v>
      </c>
      <c r="V47">
        <v>5.7</v>
      </c>
      <c r="W47" s="224">
        <v>51405</v>
      </c>
      <c r="X47">
        <v>5</v>
      </c>
      <c r="Y47">
        <v>1.9</v>
      </c>
      <c r="Z47">
        <v>3</v>
      </c>
      <c r="AA47" s="224">
        <v>8196</v>
      </c>
      <c r="AB47" s="224">
        <v>9085</v>
      </c>
      <c r="AC47" s="224">
        <v>11050</v>
      </c>
      <c r="AD47" s="224">
        <v>1095</v>
      </c>
      <c r="AE47" s="224">
        <v>1860</v>
      </c>
      <c r="AF47" t="s">
        <v>597</v>
      </c>
      <c r="AG47" t="s">
        <v>597</v>
      </c>
      <c r="AH47">
        <v>540</v>
      </c>
      <c r="AI47" s="224">
        <v>3795</v>
      </c>
      <c r="AJ47" t="s">
        <v>597</v>
      </c>
      <c r="AK47" t="s">
        <v>597</v>
      </c>
      <c r="AL47" s="224">
        <v>3695</v>
      </c>
      <c r="AM47" s="224">
        <v>7355</v>
      </c>
      <c r="AN47">
        <v>72.400000000000006</v>
      </c>
      <c r="AO47" s="224">
        <v>378771</v>
      </c>
      <c r="AP47" s="224">
        <v>405005</v>
      </c>
      <c r="AQ47" s="224">
        <v>338497</v>
      </c>
      <c r="AR47" s="224">
        <v>537077</v>
      </c>
      <c r="AS47" s="224">
        <v>152556</v>
      </c>
      <c r="AT47" s="224">
        <v>160026</v>
      </c>
      <c r="AU47" s="224">
        <v>284014</v>
      </c>
      <c r="AV47" s="224">
        <v>4253</v>
      </c>
      <c r="AW47" s="224">
        <v>91989</v>
      </c>
      <c r="AX47" s="224">
        <v>19858</v>
      </c>
      <c r="AY47" s="224">
        <v>93158</v>
      </c>
      <c r="AZ47" s="224">
        <v>25551</v>
      </c>
      <c r="BA47" s="224">
        <v>266462</v>
      </c>
      <c r="BB47" s="224">
        <v>309565</v>
      </c>
      <c r="BC47" s="225">
        <v>39661.71</v>
      </c>
      <c r="BD47" s="225">
        <v>22163.83</v>
      </c>
      <c r="BE47">
        <v>510.9</v>
      </c>
      <c r="BF47" s="225">
        <v>1181.06</v>
      </c>
      <c r="BG47" s="224">
        <v>66247</v>
      </c>
      <c r="BH47">
        <v>0</v>
      </c>
      <c r="BI47" s="224">
        <v>40661</v>
      </c>
      <c r="BJ47" s="224">
        <v>43892</v>
      </c>
      <c r="BK47" s="224">
        <v>1593</v>
      </c>
      <c r="BL47" s="224">
        <v>15500</v>
      </c>
      <c r="BM47" s="224">
        <v>17000</v>
      </c>
      <c r="BN47" s="224">
        <v>1100</v>
      </c>
      <c r="BO47" s="224">
        <v>15000</v>
      </c>
      <c r="BP47" s="224">
        <v>1700</v>
      </c>
      <c r="BQ47">
        <v>75</v>
      </c>
      <c r="BR47">
        <v>8</v>
      </c>
      <c r="BS47">
        <v>19</v>
      </c>
      <c r="BT47">
        <v>41</v>
      </c>
      <c r="BU47">
        <v>44</v>
      </c>
      <c r="BV47">
        <v>81</v>
      </c>
      <c r="BW47" s="224">
        <v>11500</v>
      </c>
      <c r="BX47" s="224">
        <v>1500</v>
      </c>
      <c r="BY47">
        <v>800</v>
      </c>
      <c r="BZ47" s="224">
        <v>3100</v>
      </c>
      <c r="CA47">
        <v>19.399999999999999</v>
      </c>
      <c r="CB47">
        <v>19.600000000000001</v>
      </c>
      <c r="CC47">
        <v>19.3</v>
      </c>
      <c r="CD47">
        <v>81.3</v>
      </c>
      <c r="CE47">
        <v>79</v>
      </c>
      <c r="CF47">
        <v>8</v>
      </c>
      <c r="CG47">
        <v>8.1999999999999993</v>
      </c>
      <c r="CH47">
        <v>71.7</v>
      </c>
      <c r="CI47">
        <v>73.5</v>
      </c>
      <c r="CJ47">
        <v>85.1</v>
      </c>
      <c r="CK47" s="224">
        <v>5800</v>
      </c>
      <c r="CL47" s="224">
        <v>6415</v>
      </c>
    </row>
    <row r="48" spans="1:90" ht="14.5">
      <c r="A48" t="s">
        <v>212</v>
      </c>
      <c r="B48" t="s">
        <v>213</v>
      </c>
      <c r="C48" t="s">
        <v>214</v>
      </c>
      <c r="D48" s="224">
        <v>247047</v>
      </c>
      <c r="E48" s="224">
        <v>251981</v>
      </c>
      <c r="F48" s="224">
        <v>205134</v>
      </c>
      <c r="G48" s="224">
        <v>202247</v>
      </c>
      <c r="H48" s="224">
        <v>41913</v>
      </c>
      <c r="I48" s="224">
        <v>49734</v>
      </c>
      <c r="J48" s="224">
        <v>5661</v>
      </c>
      <c r="K48" s="224">
        <v>7389</v>
      </c>
      <c r="L48">
        <v>7.5</v>
      </c>
      <c r="M48">
        <v>81.2</v>
      </c>
      <c r="N48">
        <v>85.1</v>
      </c>
      <c r="O48">
        <v>61.1</v>
      </c>
      <c r="P48">
        <v>60.8</v>
      </c>
      <c r="Q48" s="225">
        <v>1000</v>
      </c>
      <c r="R48">
        <v>900</v>
      </c>
      <c r="S48" s="224">
        <v>44876</v>
      </c>
      <c r="T48">
        <v>13.6</v>
      </c>
      <c r="U48" s="224">
        <v>16125</v>
      </c>
      <c r="V48">
        <v>4.9000000000000004</v>
      </c>
      <c r="W48" s="224">
        <v>24611</v>
      </c>
      <c r="X48">
        <v>3.7</v>
      </c>
      <c r="Y48">
        <v>1.9</v>
      </c>
      <c r="Z48">
        <v>2.2999999999999998</v>
      </c>
      <c r="AA48" s="224">
        <v>2011</v>
      </c>
      <c r="AB48" s="224">
        <v>2014</v>
      </c>
      <c r="AC48" s="224">
        <v>5270</v>
      </c>
      <c r="AD48">
        <v>965</v>
      </c>
      <c r="AE48">
        <v>975</v>
      </c>
      <c r="AF48">
        <v>10</v>
      </c>
      <c r="AG48" t="s">
        <v>597</v>
      </c>
      <c r="AH48">
        <v>830</v>
      </c>
      <c r="AI48" s="224">
        <v>1320</v>
      </c>
      <c r="AJ48">
        <v>5</v>
      </c>
      <c r="AK48" t="s">
        <v>597</v>
      </c>
      <c r="AL48" s="224">
        <v>2150</v>
      </c>
      <c r="AM48" s="224">
        <v>3120</v>
      </c>
      <c r="AN48">
        <v>66.3</v>
      </c>
      <c r="AO48" s="224">
        <v>153697</v>
      </c>
      <c r="AP48" s="224">
        <v>148161</v>
      </c>
      <c r="AQ48" s="224">
        <v>149270</v>
      </c>
      <c r="AR48" s="224">
        <v>285134</v>
      </c>
      <c r="AS48" s="224">
        <v>57451</v>
      </c>
      <c r="AT48" s="224">
        <v>58587</v>
      </c>
      <c r="AU48" s="224">
        <v>128240</v>
      </c>
      <c r="AV48">
        <v>862</v>
      </c>
      <c r="AW48" s="224">
        <v>33403</v>
      </c>
      <c r="AX48" s="224">
        <v>3160</v>
      </c>
      <c r="AY48" s="224">
        <v>61488</v>
      </c>
      <c r="AZ48" s="224">
        <v>6320</v>
      </c>
      <c r="BA48" s="224">
        <v>124165</v>
      </c>
      <c r="BB48" s="224">
        <v>134560</v>
      </c>
      <c r="BC48" s="225">
        <v>28595.35</v>
      </c>
      <c r="BD48" s="225">
        <v>23423.08</v>
      </c>
      <c r="BE48">
        <v>288.33</v>
      </c>
      <c r="BF48" s="225">
        <v>1241.55</v>
      </c>
      <c r="BG48" s="224">
        <v>35317</v>
      </c>
      <c r="BH48">
        <v>616</v>
      </c>
      <c r="BI48" s="224">
        <v>6468</v>
      </c>
      <c r="BJ48" s="224">
        <v>32198</v>
      </c>
      <c r="BK48" s="224">
        <v>37129</v>
      </c>
      <c r="BL48" s="224">
        <v>8300</v>
      </c>
      <c r="BM48" s="224">
        <v>9200</v>
      </c>
      <c r="BN48">
        <v>700</v>
      </c>
      <c r="BO48" s="224">
        <v>8600</v>
      </c>
      <c r="BP48">
        <v>600</v>
      </c>
      <c r="BQ48">
        <v>74</v>
      </c>
      <c r="BR48">
        <v>9</v>
      </c>
      <c r="BS48">
        <v>51</v>
      </c>
      <c r="BT48">
        <v>39</v>
      </c>
      <c r="BU48">
        <v>44</v>
      </c>
      <c r="BV48">
        <v>22</v>
      </c>
      <c r="BW48" s="224">
        <v>7200</v>
      </c>
      <c r="BX48">
        <v>750</v>
      </c>
      <c r="BY48">
        <v>325</v>
      </c>
      <c r="BZ48" s="224">
        <v>1000</v>
      </c>
      <c r="CA48">
        <v>18.7</v>
      </c>
      <c r="CB48">
        <v>19</v>
      </c>
      <c r="CC48">
        <v>18.399999999999999</v>
      </c>
      <c r="CD48">
        <v>74.599999999999994</v>
      </c>
      <c r="CE48">
        <v>67.8</v>
      </c>
      <c r="CF48">
        <v>7.4</v>
      </c>
      <c r="CG48">
        <v>7.6</v>
      </c>
      <c r="CH48">
        <v>66.400000000000006</v>
      </c>
      <c r="CI48">
        <v>66.099999999999994</v>
      </c>
      <c r="CJ48">
        <v>82.4</v>
      </c>
      <c r="CK48" s="224">
        <v>2280</v>
      </c>
      <c r="CL48" s="224">
        <v>2230</v>
      </c>
    </row>
    <row r="49" spans="1:90" ht="14.5">
      <c r="A49" t="s">
        <v>215</v>
      </c>
      <c r="B49" t="s">
        <v>216</v>
      </c>
      <c r="C49" t="s">
        <v>217</v>
      </c>
      <c r="D49" s="224">
        <v>1145843</v>
      </c>
      <c r="E49" s="224">
        <v>1246808</v>
      </c>
      <c r="F49" s="224">
        <v>854415</v>
      </c>
      <c r="G49" s="224">
        <v>913894</v>
      </c>
      <c r="H49" s="224">
        <v>291428</v>
      </c>
      <c r="I49" s="224">
        <v>332914</v>
      </c>
      <c r="J49" s="224">
        <v>38829</v>
      </c>
      <c r="K49" s="224">
        <v>46930</v>
      </c>
      <c r="L49">
        <v>8.3000000000000007</v>
      </c>
      <c r="M49">
        <v>80.400000000000006</v>
      </c>
      <c r="N49">
        <v>84</v>
      </c>
      <c r="O49">
        <v>62.7</v>
      </c>
      <c r="P49">
        <v>62.4</v>
      </c>
      <c r="Q49" s="225">
        <v>4150</v>
      </c>
      <c r="R49" s="224">
        <v>3670</v>
      </c>
      <c r="S49" s="224">
        <v>250552</v>
      </c>
      <c r="T49">
        <v>16.7</v>
      </c>
      <c r="U49" s="224">
        <v>70274</v>
      </c>
      <c r="V49">
        <v>4.7</v>
      </c>
      <c r="W49" s="224">
        <v>124442</v>
      </c>
      <c r="X49">
        <v>4.5</v>
      </c>
      <c r="Y49">
        <v>1.6</v>
      </c>
      <c r="Z49">
        <v>2.6</v>
      </c>
      <c r="AA49" s="224">
        <v>12901</v>
      </c>
      <c r="AB49" s="224">
        <v>13391</v>
      </c>
      <c r="AC49" s="224">
        <v>21645</v>
      </c>
      <c r="AD49" s="224">
        <v>2180</v>
      </c>
      <c r="AE49" s="224">
        <v>2855</v>
      </c>
      <c r="AF49">
        <v>735</v>
      </c>
      <c r="AG49">
        <v>750</v>
      </c>
      <c r="AH49">
        <v>720</v>
      </c>
      <c r="AI49" s="224">
        <v>7630</v>
      </c>
      <c r="AJ49">
        <v>675</v>
      </c>
      <c r="AK49">
        <v>55</v>
      </c>
      <c r="AL49" s="224">
        <v>7600</v>
      </c>
      <c r="AM49" s="224">
        <v>14045</v>
      </c>
      <c r="AN49">
        <v>62.7</v>
      </c>
      <c r="AO49" s="224">
        <v>812115</v>
      </c>
      <c r="AP49" s="224">
        <v>865040</v>
      </c>
      <c r="AQ49" s="224">
        <v>740395</v>
      </c>
      <c r="AR49" s="224">
        <v>1156215</v>
      </c>
      <c r="AS49" s="224">
        <v>380532</v>
      </c>
      <c r="AT49" s="224">
        <v>346979</v>
      </c>
      <c r="AU49" s="224">
        <v>660795</v>
      </c>
      <c r="AV49" s="224">
        <v>1900</v>
      </c>
      <c r="AW49" s="224">
        <v>254113</v>
      </c>
      <c r="AX49" s="224">
        <v>12087</v>
      </c>
      <c r="AY49" s="224">
        <v>205751</v>
      </c>
      <c r="AZ49" s="224">
        <v>14814</v>
      </c>
      <c r="BA49" s="224">
        <v>608008</v>
      </c>
      <c r="BB49" s="224">
        <v>675609</v>
      </c>
      <c r="BC49" s="225">
        <v>44228.82</v>
      </c>
      <c r="BD49" s="225">
        <v>24170.17</v>
      </c>
      <c r="BE49">
        <v>418.46</v>
      </c>
      <c r="BF49" s="225">
        <v>1078.55</v>
      </c>
      <c r="BG49" s="224">
        <v>123505</v>
      </c>
      <c r="BH49">
        <v>0</v>
      </c>
      <c r="BI49" s="224">
        <v>53399</v>
      </c>
      <c r="BJ49" s="224">
        <v>75564</v>
      </c>
      <c r="BK49" s="224">
        <v>6634</v>
      </c>
      <c r="BL49" s="224">
        <v>32000</v>
      </c>
      <c r="BM49" s="224">
        <v>35000</v>
      </c>
      <c r="BN49" s="224">
        <v>3000</v>
      </c>
      <c r="BO49" s="224">
        <v>34000</v>
      </c>
      <c r="BP49" s="224">
        <v>1600</v>
      </c>
      <c r="BQ49">
        <v>78</v>
      </c>
      <c r="BR49">
        <v>6</v>
      </c>
      <c r="BS49">
        <v>24</v>
      </c>
      <c r="BT49">
        <v>41</v>
      </c>
      <c r="BU49">
        <v>44</v>
      </c>
      <c r="BV49">
        <v>68</v>
      </c>
      <c r="BW49" s="224">
        <v>26000</v>
      </c>
      <c r="BX49" s="224">
        <v>3000</v>
      </c>
      <c r="BY49" s="224">
        <v>1400</v>
      </c>
      <c r="BZ49" s="224">
        <v>4400</v>
      </c>
      <c r="CA49">
        <v>18.600000000000001</v>
      </c>
      <c r="CB49">
        <v>19.399999999999999</v>
      </c>
      <c r="CC49">
        <v>18.100000000000001</v>
      </c>
      <c r="CD49">
        <v>76.2</v>
      </c>
      <c r="CE49">
        <v>72.400000000000006</v>
      </c>
      <c r="CF49">
        <v>7.7</v>
      </c>
      <c r="CG49">
        <v>8</v>
      </c>
      <c r="CH49">
        <v>67.099999999999994</v>
      </c>
      <c r="CI49">
        <v>68.400000000000006</v>
      </c>
      <c r="CJ49">
        <v>81.3</v>
      </c>
      <c r="CK49" s="224">
        <v>8760</v>
      </c>
      <c r="CL49" s="224">
        <v>8905</v>
      </c>
    </row>
    <row r="50" spans="1:90" ht="14.5">
      <c r="A50" t="s">
        <v>218</v>
      </c>
      <c r="B50" t="s">
        <v>219</v>
      </c>
      <c r="C50" t="s">
        <v>220</v>
      </c>
      <c r="D50" s="224">
        <v>161668</v>
      </c>
      <c r="E50" s="224">
        <v>162681</v>
      </c>
      <c r="F50" s="224">
        <v>123446</v>
      </c>
      <c r="G50" s="224">
        <v>120710</v>
      </c>
      <c r="H50" s="224">
        <v>38222</v>
      </c>
      <c r="I50" s="224">
        <v>41971</v>
      </c>
      <c r="J50" s="224">
        <v>4609</v>
      </c>
      <c r="K50" s="224">
        <v>5666</v>
      </c>
      <c r="L50">
        <v>9.6</v>
      </c>
      <c r="M50">
        <v>76.900000000000006</v>
      </c>
      <c r="N50">
        <v>81.5</v>
      </c>
      <c r="O50">
        <v>58</v>
      </c>
      <c r="P50">
        <v>58.4</v>
      </c>
      <c r="Q50">
        <v>515</v>
      </c>
      <c r="R50">
        <v>415</v>
      </c>
      <c r="S50" s="224">
        <v>42548</v>
      </c>
      <c r="T50">
        <v>21.7</v>
      </c>
      <c r="U50" s="224">
        <v>14446</v>
      </c>
      <c r="V50">
        <v>7.4</v>
      </c>
      <c r="W50" s="224">
        <v>18802</v>
      </c>
      <c r="X50">
        <v>4.4000000000000004</v>
      </c>
      <c r="Y50">
        <v>2.2999999999999998</v>
      </c>
      <c r="Z50">
        <v>3.3</v>
      </c>
      <c r="AA50" s="224">
        <v>2079</v>
      </c>
      <c r="AB50" s="224">
        <v>2079</v>
      </c>
      <c r="AC50" s="224">
        <v>3765</v>
      </c>
      <c r="AD50">
        <v>300</v>
      </c>
      <c r="AE50" t="s">
        <v>597</v>
      </c>
      <c r="AF50" t="s">
        <v>597</v>
      </c>
      <c r="AG50">
        <v>540</v>
      </c>
      <c r="AH50">
        <v>145</v>
      </c>
      <c r="AI50" t="s">
        <v>597</v>
      </c>
      <c r="AJ50" t="s">
        <v>597</v>
      </c>
      <c r="AK50" s="224">
        <v>1380</v>
      </c>
      <c r="AL50">
        <v>965</v>
      </c>
      <c r="AM50" s="224">
        <v>2800</v>
      </c>
      <c r="AN50">
        <v>65.099999999999994</v>
      </c>
      <c r="AO50" s="224">
        <v>126844</v>
      </c>
      <c r="AP50" s="224">
        <v>141446</v>
      </c>
      <c r="AQ50" s="224">
        <v>116935</v>
      </c>
      <c r="AR50" s="224">
        <v>215567</v>
      </c>
      <c r="AS50" s="224">
        <v>35986</v>
      </c>
      <c r="AT50" s="224">
        <v>73143</v>
      </c>
      <c r="AU50" s="224">
        <v>96744</v>
      </c>
      <c r="AV50">
        <v>356</v>
      </c>
      <c r="AW50" s="224">
        <v>20404</v>
      </c>
      <c r="AX50" s="224">
        <v>3807</v>
      </c>
      <c r="AY50" s="224">
        <v>40696</v>
      </c>
      <c r="AZ50" s="224">
        <v>4990</v>
      </c>
      <c r="BA50" s="224">
        <v>92054</v>
      </c>
      <c r="BB50" s="224">
        <v>101734</v>
      </c>
      <c r="BC50" s="225">
        <v>34741.97</v>
      </c>
      <c r="BD50" s="225">
        <v>24360</v>
      </c>
      <c r="BE50">
        <v>301.07</v>
      </c>
      <c r="BF50" s="225">
        <v>1833.41</v>
      </c>
      <c r="BG50" s="224">
        <v>24812</v>
      </c>
      <c r="BH50">
        <v>0</v>
      </c>
      <c r="BI50" s="224">
        <v>8534</v>
      </c>
      <c r="BJ50" s="224">
        <v>11847</v>
      </c>
      <c r="BK50">
        <v>416</v>
      </c>
      <c r="BL50" s="224">
        <v>5300</v>
      </c>
      <c r="BM50" s="224">
        <v>5800</v>
      </c>
      <c r="BN50">
        <v>450</v>
      </c>
      <c r="BO50" s="224">
        <v>5100</v>
      </c>
      <c r="BP50">
        <v>700</v>
      </c>
      <c r="BQ50">
        <v>80</v>
      </c>
      <c r="BR50">
        <v>3</v>
      </c>
      <c r="BS50">
        <v>18</v>
      </c>
      <c r="BT50">
        <v>40</v>
      </c>
      <c r="BU50">
        <v>44</v>
      </c>
      <c r="BV50">
        <v>82</v>
      </c>
      <c r="BW50" s="224">
        <v>4100</v>
      </c>
      <c r="BX50">
        <v>425</v>
      </c>
      <c r="BY50">
        <v>250</v>
      </c>
      <c r="BZ50">
        <v>950</v>
      </c>
      <c r="CA50">
        <v>19.399999999999999</v>
      </c>
      <c r="CB50">
        <v>20</v>
      </c>
      <c r="CC50">
        <v>19.100000000000001</v>
      </c>
      <c r="CD50">
        <v>78.7</v>
      </c>
      <c r="CE50">
        <v>76.5</v>
      </c>
      <c r="CF50">
        <v>7.8</v>
      </c>
      <c r="CG50">
        <v>7.8</v>
      </c>
      <c r="CH50">
        <v>77.099999999999994</v>
      </c>
      <c r="CI50">
        <v>79.2</v>
      </c>
      <c r="CJ50">
        <v>80.400000000000006</v>
      </c>
      <c r="CK50" s="224">
        <v>1015</v>
      </c>
      <c r="CL50">
        <v>930</v>
      </c>
    </row>
    <row r="51" spans="1:90" ht="14.5">
      <c r="A51" t="s">
        <v>221</v>
      </c>
      <c r="B51" t="s">
        <v>222</v>
      </c>
      <c r="C51" t="s">
        <v>223</v>
      </c>
      <c r="D51" s="224">
        <v>493612</v>
      </c>
      <c r="E51" s="224">
        <v>540129</v>
      </c>
      <c r="F51" s="224">
        <v>366961</v>
      </c>
      <c r="G51" s="224">
        <v>388390</v>
      </c>
      <c r="H51" s="224">
        <v>126651</v>
      </c>
      <c r="I51" s="224">
        <v>151739</v>
      </c>
      <c r="J51" s="224">
        <v>17582</v>
      </c>
      <c r="K51" s="224">
        <v>21030</v>
      </c>
      <c r="L51">
        <v>8</v>
      </c>
      <c r="M51">
        <v>80.3</v>
      </c>
      <c r="N51">
        <v>83.9</v>
      </c>
      <c r="O51">
        <v>63.4</v>
      </c>
      <c r="P51">
        <v>63.4</v>
      </c>
      <c r="Q51">
        <v>730</v>
      </c>
      <c r="R51">
        <v>625</v>
      </c>
      <c r="S51" s="224">
        <v>108379</v>
      </c>
      <c r="T51">
        <v>16.8</v>
      </c>
      <c r="U51" s="224">
        <v>28280</v>
      </c>
      <c r="V51">
        <v>4.4000000000000004</v>
      </c>
      <c r="W51" s="224">
        <v>51862</v>
      </c>
      <c r="X51">
        <v>4.7</v>
      </c>
      <c r="Y51">
        <v>1.5</v>
      </c>
      <c r="Z51">
        <v>2.2999999999999998</v>
      </c>
      <c r="AA51" s="224">
        <v>5961</v>
      </c>
      <c r="AB51" s="224">
        <v>6172</v>
      </c>
      <c r="AC51" s="224">
        <v>8485</v>
      </c>
      <c r="AD51">
        <v>235</v>
      </c>
      <c r="AE51" t="s">
        <v>597</v>
      </c>
      <c r="AF51" s="224">
        <v>1745</v>
      </c>
      <c r="AG51" t="s">
        <v>597</v>
      </c>
      <c r="AH51">
        <v>100</v>
      </c>
      <c r="AI51" t="s">
        <v>597</v>
      </c>
      <c r="AJ51" s="224">
        <v>3530</v>
      </c>
      <c r="AK51" t="s">
        <v>597</v>
      </c>
      <c r="AL51" s="224">
        <v>2475</v>
      </c>
      <c r="AM51" s="224">
        <v>6010</v>
      </c>
      <c r="AN51">
        <v>65.5</v>
      </c>
      <c r="AO51" s="224">
        <v>291889</v>
      </c>
      <c r="AP51" s="224">
        <v>312489</v>
      </c>
      <c r="AQ51" s="224">
        <v>267068</v>
      </c>
      <c r="AR51" s="224">
        <v>531920</v>
      </c>
      <c r="AS51" s="224">
        <v>116167</v>
      </c>
      <c r="AT51" s="224">
        <v>132943</v>
      </c>
      <c r="AU51" s="224">
        <v>238652</v>
      </c>
      <c r="AV51" s="224">
        <v>4434</v>
      </c>
      <c r="AW51" s="224">
        <v>65248</v>
      </c>
      <c r="AX51" s="224">
        <v>2955</v>
      </c>
      <c r="AY51" s="224">
        <v>110288</v>
      </c>
      <c r="AZ51" s="224">
        <v>3921</v>
      </c>
      <c r="BA51" s="224">
        <v>215758</v>
      </c>
      <c r="BB51" s="224">
        <v>242573</v>
      </c>
      <c r="BC51" s="225">
        <v>43941.41</v>
      </c>
      <c r="BD51" s="225">
        <v>22265.89</v>
      </c>
      <c r="BE51">
        <v>310.52</v>
      </c>
      <c r="BF51">
        <v>895.6</v>
      </c>
      <c r="BG51" s="224">
        <v>56736</v>
      </c>
      <c r="BH51">
        <v>370</v>
      </c>
      <c r="BI51" s="224">
        <v>22519</v>
      </c>
      <c r="BJ51" s="224">
        <v>93545</v>
      </c>
      <c r="BK51">
        <v>954</v>
      </c>
      <c r="BL51" s="224">
        <v>18500</v>
      </c>
      <c r="BM51" s="224">
        <v>20000</v>
      </c>
      <c r="BN51" s="224">
        <v>1100</v>
      </c>
      <c r="BO51" s="224">
        <v>19000</v>
      </c>
      <c r="BP51" s="224">
        <v>1100</v>
      </c>
      <c r="BQ51">
        <v>77</v>
      </c>
      <c r="BR51">
        <v>7</v>
      </c>
      <c r="BS51">
        <v>24</v>
      </c>
      <c r="BT51">
        <v>40</v>
      </c>
      <c r="BU51">
        <v>43</v>
      </c>
      <c r="BV51">
        <v>70</v>
      </c>
      <c r="BW51" s="224">
        <v>15000</v>
      </c>
      <c r="BX51" s="224">
        <v>1700</v>
      </c>
      <c r="BY51">
        <v>750</v>
      </c>
      <c r="BZ51" s="224">
        <v>2800</v>
      </c>
      <c r="CA51">
        <v>18.7</v>
      </c>
      <c r="CB51">
        <v>20.100000000000001</v>
      </c>
      <c r="CC51">
        <v>17.899999999999999</v>
      </c>
      <c r="CD51">
        <v>71.3</v>
      </c>
      <c r="CE51">
        <v>63</v>
      </c>
      <c r="CF51">
        <v>7.2</v>
      </c>
      <c r="CG51">
        <v>7.3</v>
      </c>
      <c r="CH51">
        <v>70.5</v>
      </c>
      <c r="CI51">
        <v>69.599999999999994</v>
      </c>
      <c r="CJ51">
        <v>87</v>
      </c>
      <c r="CK51" s="224">
        <v>4645</v>
      </c>
      <c r="CL51" s="224">
        <v>4090</v>
      </c>
    </row>
    <row r="52" spans="1:90" ht="14.5">
      <c r="A52" t="s">
        <v>224</v>
      </c>
      <c r="B52" t="s">
        <v>225</v>
      </c>
      <c r="C52" t="s">
        <v>226</v>
      </c>
      <c r="D52" s="224">
        <v>209131</v>
      </c>
      <c r="E52" s="224">
        <v>238924</v>
      </c>
      <c r="F52" s="224">
        <v>180869</v>
      </c>
      <c r="G52" s="224">
        <v>205496</v>
      </c>
      <c r="H52" s="224">
        <v>28262</v>
      </c>
      <c r="I52" s="224">
        <v>33428</v>
      </c>
      <c r="J52" s="224">
        <v>3704</v>
      </c>
      <c r="K52" s="224">
        <v>3702</v>
      </c>
      <c r="L52">
        <v>6.7</v>
      </c>
      <c r="M52">
        <v>79.400000000000006</v>
      </c>
      <c r="N52">
        <v>82.9</v>
      </c>
      <c r="O52">
        <v>58.5</v>
      </c>
      <c r="P52">
        <v>57.5</v>
      </c>
      <c r="Q52">
        <v>780</v>
      </c>
      <c r="R52">
        <v>690</v>
      </c>
      <c r="S52" s="224">
        <v>41576</v>
      </c>
      <c r="T52">
        <v>14.4</v>
      </c>
      <c r="U52" s="224">
        <v>13286</v>
      </c>
      <c r="V52">
        <v>4.5999999999999996</v>
      </c>
      <c r="W52" s="224">
        <v>19391</v>
      </c>
      <c r="X52">
        <v>3.3</v>
      </c>
      <c r="Y52">
        <v>1.7</v>
      </c>
      <c r="Z52">
        <v>2.2000000000000002</v>
      </c>
      <c r="AA52">
        <v>957</v>
      </c>
      <c r="AB52">
        <v>962</v>
      </c>
      <c r="AC52" s="224">
        <v>5365</v>
      </c>
      <c r="AD52">
        <v>460</v>
      </c>
      <c r="AE52">
        <v>720</v>
      </c>
      <c r="AF52" s="224">
        <v>1000</v>
      </c>
      <c r="AG52" t="s">
        <v>597</v>
      </c>
      <c r="AH52">
        <v>295</v>
      </c>
      <c r="AI52" s="224">
        <v>1725</v>
      </c>
      <c r="AJ52">
        <v>300</v>
      </c>
      <c r="AK52" t="s">
        <v>597</v>
      </c>
      <c r="AL52" s="224">
        <v>2465</v>
      </c>
      <c r="AM52" s="224">
        <v>2900</v>
      </c>
      <c r="AN52">
        <v>58.4</v>
      </c>
      <c r="AO52" s="224">
        <v>143715</v>
      </c>
      <c r="AP52" s="224">
        <v>154636</v>
      </c>
      <c r="AQ52" s="224">
        <v>137764</v>
      </c>
      <c r="AR52" s="224">
        <v>337265</v>
      </c>
      <c r="AS52" s="224">
        <v>67514</v>
      </c>
      <c r="AT52" s="224">
        <v>55772</v>
      </c>
      <c r="AU52" s="224">
        <v>115446</v>
      </c>
      <c r="AV52" s="224">
        <v>1399</v>
      </c>
      <c r="AW52" s="224">
        <v>38870</v>
      </c>
      <c r="AX52" s="224">
        <v>3590</v>
      </c>
      <c r="AY52" s="224">
        <v>32006</v>
      </c>
      <c r="AZ52" s="224">
        <v>5069</v>
      </c>
      <c r="BA52" s="224">
        <v>104765</v>
      </c>
      <c r="BB52" s="224">
        <v>120515</v>
      </c>
      <c r="BC52" s="225">
        <v>25823.119999999999</v>
      </c>
      <c r="BD52" s="225">
        <v>19607.240000000002</v>
      </c>
      <c r="BE52">
        <v>335.35</v>
      </c>
      <c r="BF52" s="225">
        <v>1775.82</v>
      </c>
      <c r="BG52" s="224">
        <v>17830</v>
      </c>
      <c r="BH52" s="224">
        <v>13997</v>
      </c>
      <c r="BI52" s="224">
        <v>14947</v>
      </c>
      <c r="BJ52" s="224">
        <v>20072</v>
      </c>
      <c r="BK52" s="224">
        <v>6290</v>
      </c>
      <c r="BL52" s="224">
        <v>5100</v>
      </c>
      <c r="BM52" s="224">
        <v>5800</v>
      </c>
      <c r="BN52">
        <v>325</v>
      </c>
      <c r="BO52" s="224">
        <v>5300</v>
      </c>
      <c r="BP52">
        <v>500</v>
      </c>
      <c r="BQ52">
        <v>76</v>
      </c>
      <c r="BR52">
        <v>4</v>
      </c>
      <c r="BS52">
        <v>56</v>
      </c>
      <c r="BT52">
        <v>37</v>
      </c>
      <c r="BU52">
        <v>43</v>
      </c>
      <c r="BV52">
        <v>12</v>
      </c>
      <c r="BW52" s="224">
        <v>4400</v>
      </c>
      <c r="BX52">
        <v>550</v>
      </c>
      <c r="BY52">
        <v>200</v>
      </c>
      <c r="BZ52">
        <v>650</v>
      </c>
      <c r="CA52">
        <v>18.7</v>
      </c>
      <c r="CB52">
        <v>18.899999999999999</v>
      </c>
      <c r="CC52">
        <v>18.5</v>
      </c>
      <c r="CD52">
        <v>74.099999999999994</v>
      </c>
      <c r="CE52">
        <v>70.900000000000006</v>
      </c>
      <c r="CF52">
        <v>7.4</v>
      </c>
      <c r="CG52">
        <v>7.4</v>
      </c>
      <c r="CH52">
        <v>68.8</v>
      </c>
      <c r="CI52">
        <v>68.599999999999994</v>
      </c>
      <c r="CJ52">
        <v>80.5</v>
      </c>
      <c r="CK52" s="224">
        <v>1165</v>
      </c>
      <c r="CL52" s="224">
        <v>1330</v>
      </c>
    </row>
    <row r="53" spans="1:90" ht="14.5">
      <c r="A53" t="s">
        <v>227</v>
      </c>
      <c r="B53" t="s">
        <v>228</v>
      </c>
      <c r="C53" t="s">
        <v>229</v>
      </c>
      <c r="D53" s="224">
        <v>202690</v>
      </c>
      <c r="E53" s="224">
        <v>214182</v>
      </c>
      <c r="F53" s="224">
        <v>184165</v>
      </c>
      <c r="G53" s="224">
        <v>190466</v>
      </c>
      <c r="H53" s="224">
        <v>18525</v>
      </c>
      <c r="I53" s="224">
        <v>23716</v>
      </c>
      <c r="J53" s="224">
        <v>2169</v>
      </c>
      <c r="K53" s="224">
        <v>2293</v>
      </c>
      <c r="L53">
        <v>6.3</v>
      </c>
      <c r="M53">
        <v>78.3</v>
      </c>
      <c r="N53">
        <v>82.9</v>
      </c>
      <c r="O53">
        <v>59.3</v>
      </c>
      <c r="P53">
        <v>58.9</v>
      </c>
      <c r="Q53" t="s">
        <v>598</v>
      </c>
      <c r="R53" t="s">
        <v>598</v>
      </c>
      <c r="S53" s="224">
        <v>37020</v>
      </c>
      <c r="T53">
        <v>14.3</v>
      </c>
      <c r="U53" s="224">
        <v>12974</v>
      </c>
      <c r="V53">
        <v>5</v>
      </c>
      <c r="W53" s="224">
        <v>16322</v>
      </c>
      <c r="X53">
        <v>3.2</v>
      </c>
      <c r="Y53">
        <v>1.7</v>
      </c>
      <c r="Z53">
        <v>1.8</v>
      </c>
      <c r="AA53">
        <v>314</v>
      </c>
      <c r="AB53">
        <v>314</v>
      </c>
      <c r="AC53" s="224">
        <v>4655</v>
      </c>
      <c r="AD53">
        <v>370</v>
      </c>
      <c r="AE53" s="224">
        <v>1300</v>
      </c>
      <c r="AF53" t="s">
        <v>597</v>
      </c>
      <c r="AG53" t="s">
        <v>597</v>
      </c>
      <c r="AH53">
        <v>195</v>
      </c>
      <c r="AI53" s="224">
        <v>2135</v>
      </c>
      <c r="AJ53" t="s">
        <v>597</v>
      </c>
      <c r="AK53" t="s">
        <v>597</v>
      </c>
      <c r="AL53" s="224">
        <v>1855</v>
      </c>
      <c r="AM53" s="224">
        <v>2800</v>
      </c>
      <c r="AN53">
        <v>61.4</v>
      </c>
      <c r="AO53" s="224">
        <v>146032</v>
      </c>
      <c r="AP53" s="224">
        <v>157372</v>
      </c>
      <c r="AQ53" s="224">
        <v>146902</v>
      </c>
      <c r="AR53" s="224">
        <v>323560</v>
      </c>
      <c r="AS53" s="224">
        <v>65515</v>
      </c>
      <c r="AT53" s="224">
        <v>66997</v>
      </c>
      <c r="AU53" s="224">
        <v>120486</v>
      </c>
      <c r="AV53">
        <v>160</v>
      </c>
      <c r="AW53" s="224">
        <v>37013</v>
      </c>
      <c r="AX53">
        <v>513</v>
      </c>
      <c r="AY53" s="224">
        <v>39941</v>
      </c>
      <c r="AZ53">
        <v>587</v>
      </c>
      <c r="BA53" s="224">
        <v>108162</v>
      </c>
      <c r="BB53" s="224">
        <v>121073</v>
      </c>
      <c r="BC53" s="225">
        <v>33320.22</v>
      </c>
      <c r="BD53" s="225">
        <v>21165.71</v>
      </c>
      <c r="BE53">
        <v>344.81</v>
      </c>
      <c r="BF53" s="225">
        <v>2846.6</v>
      </c>
      <c r="BG53" s="224">
        <v>10859</v>
      </c>
      <c r="BH53">
        <v>0</v>
      </c>
      <c r="BI53" s="224">
        <v>15386</v>
      </c>
      <c r="BJ53" s="224">
        <v>27116</v>
      </c>
      <c r="BK53" s="224">
        <v>2493</v>
      </c>
      <c r="BL53" s="224">
        <v>4800</v>
      </c>
      <c r="BM53" s="224">
        <v>5700</v>
      </c>
      <c r="BN53">
        <v>275</v>
      </c>
      <c r="BO53" s="224">
        <v>5100</v>
      </c>
      <c r="BP53">
        <v>600</v>
      </c>
      <c r="BQ53">
        <v>71</v>
      </c>
      <c r="BR53">
        <v>7</v>
      </c>
      <c r="BS53">
        <v>29</v>
      </c>
      <c r="BT53">
        <v>48</v>
      </c>
      <c r="BU53">
        <v>46</v>
      </c>
      <c r="BV53">
        <v>14</v>
      </c>
      <c r="BW53" s="224">
        <v>4200</v>
      </c>
      <c r="BX53">
        <v>600</v>
      </c>
      <c r="BY53">
        <v>175</v>
      </c>
      <c r="BZ53">
        <v>750</v>
      </c>
      <c r="CA53">
        <v>18.8</v>
      </c>
      <c r="CB53">
        <v>19.100000000000001</v>
      </c>
      <c r="CC53">
        <v>18.7</v>
      </c>
      <c r="CD53">
        <v>74.3</v>
      </c>
      <c r="CE53">
        <v>72.8</v>
      </c>
      <c r="CF53">
        <v>6.4</v>
      </c>
      <c r="CG53">
        <v>6.6</v>
      </c>
      <c r="CH53">
        <v>67.8</v>
      </c>
      <c r="CI53">
        <v>67.900000000000006</v>
      </c>
      <c r="CJ53">
        <v>83.3</v>
      </c>
      <c r="CK53" t="s">
        <v>598</v>
      </c>
      <c r="CL53" t="s">
        <v>598</v>
      </c>
    </row>
    <row r="54" spans="1:90" ht="14.5">
      <c r="A54" t="s">
        <v>230</v>
      </c>
      <c r="B54" t="s">
        <v>231</v>
      </c>
      <c r="C54" t="s">
        <v>232</v>
      </c>
      <c r="D54" s="224">
        <v>98482</v>
      </c>
      <c r="E54" s="224">
        <v>104477</v>
      </c>
      <c r="F54" s="224">
        <v>77068</v>
      </c>
      <c r="G54" s="224">
        <v>78660</v>
      </c>
      <c r="H54" s="224">
        <v>21414</v>
      </c>
      <c r="I54" s="224">
        <v>25817</v>
      </c>
      <c r="J54" s="224">
        <v>2205</v>
      </c>
      <c r="K54" s="224">
        <v>2610</v>
      </c>
      <c r="L54">
        <v>10.7</v>
      </c>
      <c r="M54">
        <v>77.3</v>
      </c>
      <c r="N54">
        <v>80.8</v>
      </c>
      <c r="O54">
        <v>56.4</v>
      </c>
      <c r="P54">
        <v>56.8</v>
      </c>
      <c r="Q54">
        <v>455</v>
      </c>
      <c r="R54">
        <v>400</v>
      </c>
      <c r="S54" s="224">
        <v>28382</v>
      </c>
      <c r="T54">
        <v>22.1</v>
      </c>
      <c r="U54" s="224">
        <v>9871</v>
      </c>
      <c r="V54">
        <v>7.7</v>
      </c>
      <c r="W54" s="224">
        <v>13729</v>
      </c>
      <c r="X54">
        <v>4.7</v>
      </c>
      <c r="Y54">
        <v>2.7</v>
      </c>
      <c r="Z54">
        <v>3.9</v>
      </c>
      <c r="AA54">
        <v>747</v>
      </c>
      <c r="AB54">
        <v>747</v>
      </c>
      <c r="AC54" s="224">
        <v>3110</v>
      </c>
      <c r="AD54">
        <v>480</v>
      </c>
      <c r="AE54" t="s">
        <v>597</v>
      </c>
      <c r="AF54" t="s">
        <v>597</v>
      </c>
      <c r="AG54">
        <v>375</v>
      </c>
      <c r="AH54">
        <v>145</v>
      </c>
      <c r="AI54" t="s">
        <v>597</v>
      </c>
      <c r="AJ54" t="s">
        <v>597</v>
      </c>
      <c r="AK54" s="224">
        <v>1560</v>
      </c>
      <c r="AL54">
        <v>910</v>
      </c>
      <c r="AM54" s="224">
        <v>2200</v>
      </c>
      <c r="AN54">
        <v>68.099999999999994</v>
      </c>
      <c r="AO54" s="224">
        <v>90462</v>
      </c>
      <c r="AP54" s="224">
        <v>91142</v>
      </c>
      <c r="AQ54" s="224">
        <v>83598</v>
      </c>
      <c r="AR54" s="224">
        <v>152052</v>
      </c>
      <c r="AS54" s="224">
        <v>40786</v>
      </c>
      <c r="AT54" s="224">
        <v>33837</v>
      </c>
      <c r="AU54" s="224">
        <v>67963</v>
      </c>
      <c r="AV54" s="224">
        <v>1777</v>
      </c>
      <c r="AW54" s="224">
        <v>28512</v>
      </c>
      <c r="AX54" s="224">
        <v>5332</v>
      </c>
      <c r="AY54" s="224">
        <v>22706</v>
      </c>
      <c r="AZ54" s="224">
        <v>6088</v>
      </c>
      <c r="BA54" s="224">
        <v>64461</v>
      </c>
      <c r="BB54" s="224">
        <v>74051</v>
      </c>
      <c r="BC54" s="225">
        <v>43369.23</v>
      </c>
      <c r="BD54" s="225">
        <v>15720.45</v>
      </c>
      <c r="BE54">
        <v>541.1</v>
      </c>
      <c r="BF54" s="225">
        <v>1517.18</v>
      </c>
      <c r="BG54" s="224">
        <v>17720</v>
      </c>
      <c r="BH54">
        <v>0</v>
      </c>
      <c r="BI54" s="224">
        <v>15032</v>
      </c>
      <c r="BJ54" s="224">
        <v>15225</v>
      </c>
      <c r="BK54" s="224">
        <v>1346</v>
      </c>
      <c r="BL54" s="224">
        <v>2700</v>
      </c>
      <c r="BM54" s="224">
        <v>3200</v>
      </c>
      <c r="BN54">
        <v>225</v>
      </c>
      <c r="BO54" s="224">
        <v>1900</v>
      </c>
      <c r="BP54" s="224">
        <v>1200</v>
      </c>
      <c r="BQ54">
        <v>81</v>
      </c>
      <c r="BR54">
        <v>3</v>
      </c>
      <c r="BS54">
        <v>7</v>
      </c>
      <c r="BT54">
        <v>52</v>
      </c>
      <c r="BU54">
        <v>44</v>
      </c>
      <c r="BV54">
        <v>83</v>
      </c>
      <c r="BW54" s="224">
        <v>2200</v>
      </c>
      <c r="BX54">
        <v>300</v>
      </c>
      <c r="BY54">
        <v>175</v>
      </c>
      <c r="BZ54">
        <v>475</v>
      </c>
      <c r="CA54">
        <v>19</v>
      </c>
      <c r="CB54">
        <v>20.2</v>
      </c>
      <c r="CC54">
        <v>18.100000000000001</v>
      </c>
      <c r="CD54">
        <v>80.400000000000006</v>
      </c>
      <c r="CE54">
        <v>76.599999999999994</v>
      </c>
      <c r="CF54">
        <v>7</v>
      </c>
      <c r="CG54">
        <v>7.5</v>
      </c>
      <c r="CH54">
        <v>68.099999999999994</v>
      </c>
      <c r="CI54">
        <v>63.7</v>
      </c>
      <c r="CJ54">
        <v>60.9</v>
      </c>
      <c r="CK54">
        <v>620</v>
      </c>
      <c r="CL54">
        <v>630</v>
      </c>
    </row>
    <row r="55" spans="1:90" ht="14.5">
      <c r="A55" t="s">
        <v>233</v>
      </c>
      <c r="B55" t="s">
        <v>234</v>
      </c>
      <c r="C55" t="s">
        <v>235</v>
      </c>
      <c r="D55" s="224">
        <v>154618</v>
      </c>
      <c r="E55" s="224">
        <v>159987</v>
      </c>
      <c r="F55" s="224">
        <v>136736</v>
      </c>
      <c r="G55" s="224">
        <v>138609</v>
      </c>
      <c r="H55" s="224">
        <v>17882</v>
      </c>
      <c r="I55" s="224">
        <v>21378</v>
      </c>
      <c r="J55" s="224">
        <v>2132</v>
      </c>
      <c r="K55" s="224">
        <v>2512</v>
      </c>
      <c r="L55">
        <v>5.9</v>
      </c>
      <c r="M55">
        <v>80</v>
      </c>
      <c r="N55">
        <v>84.6</v>
      </c>
      <c r="O55">
        <v>66.2</v>
      </c>
      <c r="P55">
        <v>67.099999999999994</v>
      </c>
      <c r="Q55">
        <v>365</v>
      </c>
      <c r="R55">
        <v>320</v>
      </c>
      <c r="S55" s="224">
        <v>22972</v>
      </c>
      <c r="T55">
        <v>12.5</v>
      </c>
      <c r="U55" s="224">
        <v>7549</v>
      </c>
      <c r="V55">
        <v>4.0999999999999996</v>
      </c>
      <c r="W55" s="224">
        <v>10738</v>
      </c>
      <c r="X55">
        <v>3.2</v>
      </c>
      <c r="Y55">
        <v>1.4</v>
      </c>
      <c r="Z55">
        <v>1.6</v>
      </c>
      <c r="AA55">
        <v>632</v>
      </c>
      <c r="AB55">
        <v>622</v>
      </c>
      <c r="AC55" s="224">
        <v>3380</v>
      </c>
      <c r="AD55">
        <v>380</v>
      </c>
      <c r="AE55">
        <v>80</v>
      </c>
      <c r="AF55">
        <v>555</v>
      </c>
      <c r="AG55" t="s">
        <v>597</v>
      </c>
      <c r="AH55">
        <v>345</v>
      </c>
      <c r="AI55">
        <v>340</v>
      </c>
      <c r="AJ55" s="224">
        <v>1345</v>
      </c>
      <c r="AK55" t="s">
        <v>597</v>
      </c>
      <c r="AL55" s="224">
        <v>1120</v>
      </c>
      <c r="AM55" s="224">
        <v>2260</v>
      </c>
      <c r="AN55">
        <v>55.3</v>
      </c>
      <c r="AO55" s="224">
        <v>92736</v>
      </c>
      <c r="AP55" s="224">
        <v>101370</v>
      </c>
      <c r="AQ55" s="224">
        <v>101673</v>
      </c>
      <c r="AR55" s="224">
        <v>185616</v>
      </c>
      <c r="AS55" s="224">
        <v>39781</v>
      </c>
      <c r="AT55" s="224">
        <v>43256</v>
      </c>
      <c r="AU55" s="224">
        <v>75697</v>
      </c>
      <c r="AV55">
        <v>69</v>
      </c>
      <c r="AW55" s="224">
        <v>18696</v>
      </c>
      <c r="AX55">
        <v>426</v>
      </c>
      <c r="AY55" s="224">
        <v>37256</v>
      </c>
      <c r="AZ55">
        <v>802</v>
      </c>
      <c r="BA55" s="224">
        <v>68616</v>
      </c>
      <c r="BB55" s="224">
        <v>76499</v>
      </c>
      <c r="BC55" s="225">
        <v>30993.75</v>
      </c>
      <c r="BD55" s="225">
        <v>18489.38</v>
      </c>
      <c r="BE55">
        <v>287.5</v>
      </c>
      <c r="BF55" s="225">
        <v>2043.32</v>
      </c>
      <c r="BG55" s="224">
        <v>6084</v>
      </c>
      <c r="BH55">
        <v>897</v>
      </c>
      <c r="BI55" s="224">
        <v>12370</v>
      </c>
      <c r="BJ55" s="224">
        <v>15010</v>
      </c>
      <c r="BK55" s="224">
        <v>2379</v>
      </c>
      <c r="BL55" s="224">
        <v>2500</v>
      </c>
      <c r="BM55" s="224">
        <v>2800</v>
      </c>
      <c r="BN55">
        <v>150</v>
      </c>
      <c r="BO55" s="224">
        <v>2500</v>
      </c>
      <c r="BP55">
        <v>325</v>
      </c>
      <c r="BQ55">
        <v>77</v>
      </c>
      <c r="BR55">
        <v>16</v>
      </c>
      <c r="BS55">
        <v>23</v>
      </c>
      <c r="BT55">
        <v>33</v>
      </c>
      <c r="BU55">
        <v>47</v>
      </c>
      <c r="BV55">
        <v>30</v>
      </c>
      <c r="BW55" s="224">
        <v>2100</v>
      </c>
      <c r="BX55">
        <v>225</v>
      </c>
      <c r="BY55">
        <v>175</v>
      </c>
      <c r="BZ55">
        <v>350</v>
      </c>
      <c r="CA55">
        <v>17.399999999999999</v>
      </c>
      <c r="CB55">
        <v>17.600000000000001</v>
      </c>
      <c r="CC55">
        <v>17.3</v>
      </c>
      <c r="CD55">
        <v>67.5</v>
      </c>
      <c r="CE55">
        <v>67.400000000000006</v>
      </c>
      <c r="CF55">
        <v>6.5</v>
      </c>
      <c r="CG55">
        <v>6.4</v>
      </c>
      <c r="CH55">
        <v>56</v>
      </c>
      <c r="CI55">
        <v>54.5</v>
      </c>
      <c r="CJ55">
        <v>88.9</v>
      </c>
      <c r="CK55">
        <v>660</v>
      </c>
      <c r="CL55">
        <v>700</v>
      </c>
    </row>
    <row r="56" spans="1:90" ht="14.5">
      <c r="A56" t="s">
        <v>236</v>
      </c>
      <c r="B56" t="s">
        <v>237</v>
      </c>
      <c r="C56" t="s">
        <v>238</v>
      </c>
      <c r="D56" s="224">
        <v>1078490</v>
      </c>
      <c r="E56" s="224">
        <v>1166001</v>
      </c>
      <c r="F56" s="224">
        <v>799649</v>
      </c>
      <c r="G56" s="224">
        <v>833313</v>
      </c>
      <c r="H56" s="224">
        <v>278841</v>
      </c>
      <c r="I56" s="224">
        <v>332688</v>
      </c>
      <c r="J56" s="224">
        <v>38602</v>
      </c>
      <c r="K56" s="224">
        <v>49292</v>
      </c>
      <c r="L56">
        <v>7.9</v>
      </c>
      <c r="M56">
        <v>81.5</v>
      </c>
      <c r="N56">
        <v>84.8</v>
      </c>
      <c r="O56">
        <v>64.2</v>
      </c>
      <c r="P56">
        <v>65.099999999999994</v>
      </c>
      <c r="Q56" s="225">
        <v>3260</v>
      </c>
      <c r="R56" s="224">
        <v>2905</v>
      </c>
      <c r="S56" s="224">
        <v>229545</v>
      </c>
      <c r="T56">
        <v>16.399999999999999</v>
      </c>
      <c r="U56" s="224">
        <v>56936</v>
      </c>
      <c r="V56">
        <v>4.0999999999999996</v>
      </c>
      <c r="W56" s="224">
        <v>111739</v>
      </c>
      <c r="X56">
        <v>4.5999999999999996</v>
      </c>
      <c r="Y56">
        <v>1.4</v>
      </c>
      <c r="Z56">
        <v>2.4</v>
      </c>
      <c r="AA56" s="224">
        <v>14887</v>
      </c>
      <c r="AB56" s="224">
        <v>15913</v>
      </c>
      <c r="AC56" s="224">
        <v>18690</v>
      </c>
      <c r="AD56" s="224">
        <v>1515</v>
      </c>
      <c r="AE56">
        <v>855</v>
      </c>
      <c r="AF56" s="224">
        <v>2625</v>
      </c>
      <c r="AG56" t="s">
        <v>597</v>
      </c>
      <c r="AH56">
        <v>620</v>
      </c>
      <c r="AI56">
        <v>615</v>
      </c>
      <c r="AJ56" s="224">
        <v>5680</v>
      </c>
      <c r="AK56" t="s">
        <v>597</v>
      </c>
      <c r="AL56" s="224">
        <v>5990</v>
      </c>
      <c r="AM56" s="224">
        <v>12700</v>
      </c>
      <c r="AN56">
        <v>65.900000000000006</v>
      </c>
      <c r="AO56" s="224">
        <v>723330</v>
      </c>
      <c r="AP56" s="224">
        <v>755771</v>
      </c>
      <c r="AQ56" s="224">
        <v>639562</v>
      </c>
      <c r="AR56" s="224">
        <v>1052564</v>
      </c>
      <c r="AS56" s="224">
        <v>255269</v>
      </c>
      <c r="AT56" s="224">
        <v>391371</v>
      </c>
      <c r="AU56" s="224">
        <v>607235</v>
      </c>
      <c r="AV56" s="224">
        <v>8504</v>
      </c>
      <c r="AW56" s="224">
        <v>159103</v>
      </c>
      <c r="AX56" s="224">
        <v>16214</v>
      </c>
      <c r="AY56" s="224">
        <v>292491</v>
      </c>
      <c r="AZ56" s="224">
        <v>39819</v>
      </c>
      <c r="BA56" s="224">
        <v>582521</v>
      </c>
      <c r="BB56" s="224">
        <v>647054</v>
      </c>
      <c r="BC56" s="225">
        <v>39410.85</v>
      </c>
      <c r="BD56" s="225">
        <v>32360.87</v>
      </c>
      <c r="BE56">
        <v>316.54000000000002</v>
      </c>
      <c r="BF56" s="225">
        <v>1225.1300000000001</v>
      </c>
      <c r="BG56" s="224">
        <v>116162</v>
      </c>
      <c r="BH56">
        <v>56</v>
      </c>
      <c r="BI56" s="224">
        <v>47075</v>
      </c>
      <c r="BJ56" s="224">
        <v>59725</v>
      </c>
      <c r="BK56" s="224">
        <v>2809</v>
      </c>
      <c r="BL56" s="224">
        <v>35000</v>
      </c>
      <c r="BM56" s="224">
        <v>38000</v>
      </c>
      <c r="BN56" s="224">
        <v>2800</v>
      </c>
      <c r="BO56" s="224">
        <v>35000</v>
      </c>
      <c r="BP56" s="224">
        <v>3400</v>
      </c>
      <c r="BQ56">
        <v>77</v>
      </c>
      <c r="BR56">
        <v>7</v>
      </c>
      <c r="BS56">
        <v>29</v>
      </c>
      <c r="BT56">
        <v>35</v>
      </c>
      <c r="BU56">
        <v>43</v>
      </c>
      <c r="BV56">
        <v>64</v>
      </c>
      <c r="BW56" s="224">
        <v>28000</v>
      </c>
      <c r="BX56" s="224">
        <v>3100</v>
      </c>
      <c r="BY56" s="224">
        <v>1700</v>
      </c>
      <c r="BZ56" s="224">
        <v>5600</v>
      </c>
      <c r="CA56">
        <v>19.100000000000001</v>
      </c>
      <c r="CB56">
        <v>19.8</v>
      </c>
      <c r="CC56">
        <v>18.8</v>
      </c>
      <c r="CD56">
        <v>80.099999999999994</v>
      </c>
      <c r="CE56">
        <v>74.3</v>
      </c>
      <c r="CF56">
        <v>6.7</v>
      </c>
      <c r="CG56">
        <v>6.8</v>
      </c>
      <c r="CH56">
        <v>70.2</v>
      </c>
      <c r="CI56">
        <v>72.099999999999994</v>
      </c>
      <c r="CJ56">
        <v>85.1</v>
      </c>
      <c r="CK56" s="224">
        <v>8400</v>
      </c>
      <c r="CL56" s="224">
        <v>8695</v>
      </c>
    </row>
    <row r="57" spans="1:90" ht="14.5">
      <c r="A57" t="s">
        <v>239</v>
      </c>
      <c r="B57" t="s">
        <v>240</v>
      </c>
      <c r="C57" t="s">
        <v>241</v>
      </c>
      <c r="D57" s="224">
        <v>213566</v>
      </c>
      <c r="E57" s="224">
        <v>215099</v>
      </c>
      <c r="F57" s="224">
        <v>188897</v>
      </c>
      <c r="G57" s="224">
        <v>184030</v>
      </c>
      <c r="H57" s="224">
        <v>24669</v>
      </c>
      <c r="I57" s="224">
        <v>31069</v>
      </c>
      <c r="J57" s="224">
        <v>2628</v>
      </c>
      <c r="K57" s="224">
        <v>3529</v>
      </c>
      <c r="L57">
        <v>6.4</v>
      </c>
      <c r="M57">
        <v>80</v>
      </c>
      <c r="N57">
        <v>85.5</v>
      </c>
      <c r="O57">
        <v>58.3</v>
      </c>
      <c r="P57">
        <v>58.2</v>
      </c>
      <c r="Q57">
        <v>820</v>
      </c>
      <c r="R57">
        <v>730</v>
      </c>
      <c r="S57" s="224">
        <v>36114</v>
      </c>
      <c r="T57">
        <v>13.7</v>
      </c>
      <c r="U57" s="224">
        <v>12837</v>
      </c>
      <c r="V57">
        <v>4.9000000000000004</v>
      </c>
      <c r="W57" s="224">
        <v>16891</v>
      </c>
      <c r="X57">
        <v>3.4</v>
      </c>
      <c r="Y57">
        <v>1.6</v>
      </c>
      <c r="Z57">
        <v>1.8</v>
      </c>
      <c r="AA57">
        <v>383</v>
      </c>
      <c r="AB57">
        <v>375</v>
      </c>
      <c r="AC57" s="224">
        <v>4470</v>
      </c>
      <c r="AD57">
        <v>545</v>
      </c>
      <c r="AE57" t="s">
        <v>597</v>
      </c>
      <c r="AF57" t="s">
        <v>597</v>
      </c>
      <c r="AG57" s="224">
        <v>1250</v>
      </c>
      <c r="AH57">
        <v>255</v>
      </c>
      <c r="AI57" t="s">
        <v>597</v>
      </c>
      <c r="AJ57" t="s">
        <v>597</v>
      </c>
      <c r="AK57" s="224">
        <v>1595</v>
      </c>
      <c r="AL57" s="224">
        <v>1975</v>
      </c>
      <c r="AM57" s="224">
        <v>2495</v>
      </c>
      <c r="AN57">
        <v>57.1</v>
      </c>
      <c r="AO57" s="224">
        <v>144919</v>
      </c>
      <c r="AP57" s="224">
        <v>158430</v>
      </c>
      <c r="AQ57" s="224">
        <v>143672</v>
      </c>
      <c r="AR57" s="224">
        <v>285181</v>
      </c>
      <c r="AS57" s="224">
        <v>76207</v>
      </c>
      <c r="AT57" s="224">
        <v>54614</v>
      </c>
      <c r="AU57" s="224">
        <v>120408</v>
      </c>
      <c r="AV57">
        <v>767</v>
      </c>
      <c r="AW57" s="224">
        <v>41132</v>
      </c>
      <c r="AX57" s="224">
        <v>1672</v>
      </c>
      <c r="AY57" s="224">
        <v>39993</v>
      </c>
      <c r="AZ57" s="224">
        <v>2968</v>
      </c>
      <c r="BA57" s="224">
        <v>112289</v>
      </c>
      <c r="BB57" s="224">
        <v>123376</v>
      </c>
      <c r="BC57" s="225">
        <v>34628.86</v>
      </c>
      <c r="BD57" s="225">
        <v>22037.68</v>
      </c>
      <c r="BE57">
        <v>418.27</v>
      </c>
      <c r="BF57" s="225">
        <v>1811.65</v>
      </c>
      <c r="BG57" s="224">
        <v>15800</v>
      </c>
      <c r="BH57">
        <v>54</v>
      </c>
      <c r="BI57" s="224">
        <v>11527</v>
      </c>
      <c r="BJ57" s="224">
        <v>20676</v>
      </c>
      <c r="BK57">
        <v>364</v>
      </c>
      <c r="BL57" s="224">
        <v>3300</v>
      </c>
      <c r="BM57" s="224">
        <v>3600</v>
      </c>
      <c r="BN57">
        <v>150</v>
      </c>
      <c r="BO57" s="224">
        <v>3300</v>
      </c>
      <c r="BP57">
        <v>325</v>
      </c>
      <c r="BQ57">
        <v>77</v>
      </c>
      <c r="BR57">
        <v>7</v>
      </c>
      <c r="BS57">
        <v>40</v>
      </c>
      <c r="BT57">
        <v>41</v>
      </c>
      <c r="BU57">
        <v>44</v>
      </c>
      <c r="BV57">
        <v>13</v>
      </c>
      <c r="BW57" s="224">
        <v>2800</v>
      </c>
      <c r="BX57">
        <v>325</v>
      </c>
      <c r="BY57">
        <v>125</v>
      </c>
      <c r="BZ57">
        <v>350</v>
      </c>
      <c r="CA57">
        <v>18.100000000000001</v>
      </c>
      <c r="CB57">
        <v>18.399999999999999</v>
      </c>
      <c r="CC57">
        <v>17.8</v>
      </c>
      <c r="CD57">
        <v>69.3</v>
      </c>
      <c r="CE57">
        <v>66.3</v>
      </c>
      <c r="CF57">
        <v>6.8</v>
      </c>
      <c r="CG57">
        <v>7.2</v>
      </c>
      <c r="CH57">
        <v>64.8</v>
      </c>
      <c r="CI57">
        <v>64</v>
      </c>
      <c r="CJ57">
        <v>92</v>
      </c>
      <c r="CK57">
        <v>800</v>
      </c>
      <c r="CL57">
        <v>505</v>
      </c>
    </row>
    <row r="58" spans="1:90" ht="14.5">
      <c r="A58" t="s">
        <v>242</v>
      </c>
      <c r="B58" t="s">
        <v>243</v>
      </c>
      <c r="C58" t="s">
        <v>244</v>
      </c>
      <c r="D58" s="224">
        <v>197243</v>
      </c>
      <c r="E58" s="224">
        <v>214252</v>
      </c>
      <c r="F58" s="224">
        <v>160570</v>
      </c>
      <c r="G58" s="224">
        <v>170392</v>
      </c>
      <c r="H58" s="224">
        <v>36673</v>
      </c>
      <c r="I58" s="224">
        <v>43860</v>
      </c>
      <c r="J58" s="224">
        <v>5088</v>
      </c>
      <c r="K58" s="224">
        <v>6322</v>
      </c>
      <c r="L58">
        <v>7.7</v>
      </c>
      <c r="M58">
        <v>81.900000000000006</v>
      </c>
      <c r="N58">
        <v>85.8</v>
      </c>
      <c r="O58">
        <v>62.9</v>
      </c>
      <c r="P58">
        <v>62.7</v>
      </c>
      <c r="Q58">
        <v>655</v>
      </c>
      <c r="R58">
        <v>570</v>
      </c>
      <c r="S58" s="224">
        <v>31258</v>
      </c>
      <c r="T58">
        <v>12</v>
      </c>
      <c r="U58" s="224">
        <v>10149</v>
      </c>
      <c r="V58">
        <v>3.9</v>
      </c>
      <c r="W58" s="224">
        <v>20035</v>
      </c>
      <c r="X58">
        <v>4.2</v>
      </c>
      <c r="Y58">
        <v>1.8</v>
      </c>
      <c r="Z58">
        <v>2.1</v>
      </c>
      <c r="AA58" s="224">
        <v>1456</v>
      </c>
      <c r="AB58" s="224">
        <v>1461</v>
      </c>
      <c r="AC58" s="224">
        <v>3260</v>
      </c>
      <c r="AD58">
        <v>350</v>
      </c>
      <c r="AE58">
        <v>440</v>
      </c>
      <c r="AF58">
        <v>255</v>
      </c>
      <c r="AG58" t="s">
        <v>597</v>
      </c>
      <c r="AH58">
        <v>190</v>
      </c>
      <c r="AI58" s="224">
        <v>1160</v>
      </c>
      <c r="AJ58">
        <v>50</v>
      </c>
      <c r="AK58" t="s">
        <v>597</v>
      </c>
      <c r="AL58" s="224">
        <v>1235</v>
      </c>
      <c r="AM58" s="224">
        <v>2025</v>
      </c>
      <c r="AN58">
        <v>66.400000000000006</v>
      </c>
      <c r="AO58" s="224">
        <v>116398</v>
      </c>
      <c r="AP58" s="224">
        <v>123495</v>
      </c>
      <c r="AQ58" s="224">
        <v>105718</v>
      </c>
      <c r="AR58" s="224">
        <v>228891</v>
      </c>
      <c r="AS58" s="224">
        <v>46092</v>
      </c>
      <c r="AT58" s="224">
        <v>54654</v>
      </c>
      <c r="AU58" s="224">
        <v>95067</v>
      </c>
      <c r="AV58">
        <v>103</v>
      </c>
      <c r="AW58" s="224">
        <v>28687</v>
      </c>
      <c r="AX58" s="224">
        <v>1713</v>
      </c>
      <c r="AY58" s="224">
        <v>43394</v>
      </c>
      <c r="AZ58" s="224">
        <v>2585</v>
      </c>
      <c r="BA58" s="224">
        <v>90873</v>
      </c>
      <c r="BB58" s="224">
        <v>97652</v>
      </c>
      <c r="BC58" s="225">
        <v>35724.699999999997</v>
      </c>
      <c r="BD58" s="225">
        <v>26435.56</v>
      </c>
      <c r="BE58">
        <v>271.11</v>
      </c>
      <c r="BF58" s="225">
        <v>1285.1600000000001</v>
      </c>
      <c r="BG58" s="224">
        <v>17777</v>
      </c>
      <c r="BH58">
        <v>0</v>
      </c>
      <c r="BI58" s="224">
        <v>8266</v>
      </c>
      <c r="BJ58" s="224">
        <v>17779</v>
      </c>
      <c r="BK58">
        <v>139</v>
      </c>
      <c r="BL58" s="224">
        <v>5400</v>
      </c>
      <c r="BM58" s="224">
        <v>6000</v>
      </c>
      <c r="BN58">
        <v>475</v>
      </c>
      <c r="BO58" s="224">
        <v>5600</v>
      </c>
      <c r="BP58">
        <v>400</v>
      </c>
      <c r="BQ58">
        <v>74</v>
      </c>
      <c r="BR58">
        <v>9</v>
      </c>
      <c r="BS58">
        <v>58</v>
      </c>
      <c r="BT58">
        <v>30</v>
      </c>
      <c r="BU58">
        <v>42</v>
      </c>
      <c r="BV58">
        <v>14</v>
      </c>
      <c r="BW58" s="224">
        <v>4600</v>
      </c>
      <c r="BX58">
        <v>475</v>
      </c>
      <c r="BY58">
        <v>275</v>
      </c>
      <c r="BZ58">
        <v>650</v>
      </c>
      <c r="CA58">
        <v>19.100000000000001</v>
      </c>
      <c r="CB58">
        <v>19.5</v>
      </c>
      <c r="CC58">
        <v>18.7</v>
      </c>
      <c r="CD58">
        <v>72.400000000000006</v>
      </c>
      <c r="CE58">
        <v>69.400000000000006</v>
      </c>
      <c r="CF58">
        <v>7.3</v>
      </c>
      <c r="CG58">
        <v>7.5</v>
      </c>
      <c r="CH58">
        <v>68.2</v>
      </c>
      <c r="CI58">
        <v>68.7</v>
      </c>
      <c r="CJ58">
        <v>96.2</v>
      </c>
      <c r="CK58">
        <v>450</v>
      </c>
      <c r="CL58">
        <v>715</v>
      </c>
    </row>
    <row r="59" spans="1:90" ht="14.5">
      <c r="A59" t="s">
        <v>245</v>
      </c>
      <c r="B59" t="s">
        <v>246</v>
      </c>
      <c r="C59" t="s">
        <v>247</v>
      </c>
      <c r="D59" s="224">
        <v>72305</v>
      </c>
      <c r="E59" s="224">
        <v>78477</v>
      </c>
      <c r="F59" s="224">
        <v>55143</v>
      </c>
      <c r="G59" s="224">
        <v>58263</v>
      </c>
      <c r="H59" s="224">
        <v>17162</v>
      </c>
      <c r="I59" s="224">
        <v>20214</v>
      </c>
      <c r="J59" s="224">
        <v>2056</v>
      </c>
      <c r="K59" s="224">
        <v>2529</v>
      </c>
      <c r="L59">
        <v>10.3</v>
      </c>
      <c r="M59">
        <v>77.3</v>
      </c>
      <c r="N59">
        <v>80.3</v>
      </c>
      <c r="O59">
        <v>52.1</v>
      </c>
      <c r="P59">
        <v>51.2</v>
      </c>
      <c r="Q59">
        <v>325</v>
      </c>
      <c r="R59">
        <v>280</v>
      </c>
      <c r="S59" s="224">
        <v>21145</v>
      </c>
      <c r="T59">
        <v>22.9</v>
      </c>
      <c r="U59" s="224">
        <v>7357</v>
      </c>
      <c r="V59">
        <v>8</v>
      </c>
      <c r="W59" s="224">
        <v>9554</v>
      </c>
      <c r="X59">
        <v>4.2</v>
      </c>
      <c r="Y59">
        <v>2.9</v>
      </c>
      <c r="Z59">
        <v>3.9</v>
      </c>
      <c r="AA59" s="224">
        <v>1003</v>
      </c>
      <c r="AB59" s="224">
        <v>1007</v>
      </c>
      <c r="AC59" s="224">
        <v>2005</v>
      </c>
      <c r="AD59">
        <v>295</v>
      </c>
      <c r="AE59">
        <v>225</v>
      </c>
      <c r="AF59" t="s">
        <v>597</v>
      </c>
      <c r="AG59">
        <v>10</v>
      </c>
      <c r="AH59">
        <v>85</v>
      </c>
      <c r="AI59">
        <v>735</v>
      </c>
      <c r="AJ59" t="s">
        <v>597</v>
      </c>
      <c r="AK59">
        <v>65</v>
      </c>
      <c r="AL59">
        <v>595</v>
      </c>
      <c r="AM59" s="224">
        <v>1410</v>
      </c>
      <c r="AN59">
        <v>68.5</v>
      </c>
      <c r="AO59" s="224">
        <v>56619</v>
      </c>
      <c r="AP59" s="224">
        <v>60344</v>
      </c>
      <c r="AQ59" s="224">
        <v>50051</v>
      </c>
      <c r="AR59" s="224">
        <v>111412</v>
      </c>
      <c r="AS59" s="224">
        <v>13817</v>
      </c>
      <c r="AT59" s="224">
        <v>30143</v>
      </c>
      <c r="AU59" s="224">
        <v>41259</v>
      </c>
      <c r="AV59">
        <v>471</v>
      </c>
      <c r="AW59" s="224">
        <v>9636</v>
      </c>
      <c r="AX59" s="224">
        <v>3115</v>
      </c>
      <c r="AY59" s="224">
        <v>16907</v>
      </c>
      <c r="AZ59" s="224">
        <v>3007</v>
      </c>
      <c r="BA59" s="224">
        <v>38971</v>
      </c>
      <c r="BB59" s="224">
        <v>44266</v>
      </c>
      <c r="BC59" s="225">
        <v>23717.65</v>
      </c>
      <c r="BD59" s="225">
        <v>21385.82</v>
      </c>
      <c r="BE59">
        <v>245.23</v>
      </c>
      <c r="BF59" s="225">
        <v>1645.3</v>
      </c>
      <c r="BG59" s="224">
        <v>10293</v>
      </c>
      <c r="BH59">
        <v>0</v>
      </c>
      <c r="BI59" s="224">
        <v>8852</v>
      </c>
      <c r="BJ59" s="224">
        <v>18741</v>
      </c>
      <c r="BK59" s="224">
        <v>1179</v>
      </c>
      <c r="BL59" s="224">
        <v>2700</v>
      </c>
      <c r="BM59" s="224">
        <v>2800</v>
      </c>
      <c r="BN59">
        <v>25</v>
      </c>
      <c r="BO59" s="224">
        <v>2500</v>
      </c>
      <c r="BP59">
        <v>325</v>
      </c>
      <c r="BQ59">
        <v>85</v>
      </c>
      <c r="BR59">
        <v>0</v>
      </c>
      <c r="BS59">
        <v>2</v>
      </c>
      <c r="BT59">
        <v>39</v>
      </c>
      <c r="BU59">
        <v>45</v>
      </c>
      <c r="BV59">
        <v>96</v>
      </c>
      <c r="BW59" s="224">
        <v>2000</v>
      </c>
      <c r="BX59">
        <v>250</v>
      </c>
      <c r="BY59">
        <v>125</v>
      </c>
      <c r="BZ59">
        <v>450</v>
      </c>
      <c r="CA59">
        <v>20.100000000000001</v>
      </c>
      <c r="CB59">
        <v>20.399999999999999</v>
      </c>
      <c r="CC59">
        <v>20</v>
      </c>
      <c r="CD59">
        <v>85.3</v>
      </c>
      <c r="CE59">
        <v>82.4</v>
      </c>
      <c r="CF59">
        <v>8.3000000000000007</v>
      </c>
      <c r="CG59">
        <v>8.4</v>
      </c>
      <c r="CH59">
        <v>76.5</v>
      </c>
      <c r="CI59">
        <v>76.2</v>
      </c>
      <c r="CJ59">
        <v>92.3</v>
      </c>
      <c r="CK59" s="224">
        <v>1385</v>
      </c>
      <c r="CL59" s="224">
        <v>2010</v>
      </c>
    </row>
    <row r="60" spans="1:90" ht="14.5">
      <c r="A60" t="s">
        <v>248</v>
      </c>
      <c r="B60" t="s">
        <v>249</v>
      </c>
      <c r="C60" t="s">
        <v>250</v>
      </c>
      <c r="D60" s="224">
        <v>196143</v>
      </c>
      <c r="E60" s="224">
        <v>216850</v>
      </c>
      <c r="F60" s="224">
        <v>150420</v>
      </c>
      <c r="G60" s="224">
        <v>168354</v>
      </c>
      <c r="H60" s="224">
        <v>45723</v>
      </c>
      <c r="I60" s="224">
        <v>48496</v>
      </c>
      <c r="J60" s="224">
        <v>6891</v>
      </c>
      <c r="K60" s="224">
        <v>7371</v>
      </c>
      <c r="L60">
        <v>7.9</v>
      </c>
      <c r="M60">
        <v>80.5</v>
      </c>
      <c r="N60">
        <v>84</v>
      </c>
      <c r="O60">
        <v>63.8</v>
      </c>
      <c r="P60">
        <v>63.3</v>
      </c>
      <c r="Q60">
        <v>660</v>
      </c>
      <c r="R60">
        <v>585</v>
      </c>
      <c r="S60" s="224">
        <v>38449</v>
      </c>
      <c r="T60">
        <v>14.7</v>
      </c>
      <c r="U60" s="224">
        <v>11633</v>
      </c>
      <c r="V60">
        <v>4.4000000000000004</v>
      </c>
      <c r="W60" s="224">
        <v>20637</v>
      </c>
      <c r="X60">
        <v>4.0999999999999996</v>
      </c>
      <c r="Y60">
        <v>1.7</v>
      </c>
      <c r="Z60">
        <v>2.6</v>
      </c>
      <c r="AA60" s="224">
        <v>1780</v>
      </c>
      <c r="AB60" s="224">
        <v>1971</v>
      </c>
      <c r="AC60" s="224">
        <v>3700</v>
      </c>
      <c r="AD60">
        <v>540</v>
      </c>
      <c r="AE60" t="s">
        <v>597</v>
      </c>
      <c r="AF60" t="s">
        <v>597</v>
      </c>
      <c r="AG60">
        <v>520</v>
      </c>
      <c r="AH60">
        <v>265</v>
      </c>
      <c r="AI60" t="s">
        <v>597</v>
      </c>
      <c r="AJ60" t="s">
        <v>597</v>
      </c>
      <c r="AK60" s="224">
        <v>1405</v>
      </c>
      <c r="AL60" s="224">
        <v>1210</v>
      </c>
      <c r="AM60" s="224">
        <v>2490</v>
      </c>
      <c r="AN60">
        <v>63.4</v>
      </c>
      <c r="AO60" s="224">
        <v>114488</v>
      </c>
      <c r="AP60" s="224">
        <v>129068</v>
      </c>
      <c r="AQ60" s="224">
        <v>111341</v>
      </c>
      <c r="AR60" s="224">
        <v>203667</v>
      </c>
      <c r="AS60" s="224">
        <v>51925</v>
      </c>
      <c r="AT60" s="224">
        <v>59125</v>
      </c>
      <c r="AU60" s="224">
        <v>103155</v>
      </c>
      <c r="AV60">
        <v>14</v>
      </c>
      <c r="AW60" s="224">
        <v>31375</v>
      </c>
      <c r="AX60">
        <v>186</v>
      </c>
      <c r="AY60" s="224">
        <v>44530</v>
      </c>
      <c r="AZ60" s="224">
        <v>2085</v>
      </c>
      <c r="BA60" s="224">
        <v>93082</v>
      </c>
      <c r="BB60" s="224">
        <v>105240</v>
      </c>
      <c r="BC60" s="225">
        <v>38016.53</v>
      </c>
      <c r="BD60" s="225">
        <v>23791.16</v>
      </c>
      <c r="BE60">
        <v>308.51</v>
      </c>
      <c r="BF60" s="225">
        <v>1223.01</v>
      </c>
      <c r="BG60" s="224">
        <v>19221</v>
      </c>
      <c r="BH60">
        <v>0</v>
      </c>
      <c r="BI60" s="224">
        <v>9937</v>
      </c>
      <c r="BJ60" s="224">
        <v>12911</v>
      </c>
      <c r="BK60">
        <v>480</v>
      </c>
      <c r="BL60" s="224">
        <v>5600</v>
      </c>
      <c r="BM60" s="224">
        <v>6400</v>
      </c>
      <c r="BN60">
        <v>550</v>
      </c>
      <c r="BO60" s="224">
        <v>6200</v>
      </c>
      <c r="BP60">
        <v>250</v>
      </c>
      <c r="BQ60">
        <v>80</v>
      </c>
      <c r="BR60">
        <v>8</v>
      </c>
      <c r="BS60">
        <v>43</v>
      </c>
      <c r="BT60">
        <v>38</v>
      </c>
      <c r="BU60">
        <v>43</v>
      </c>
      <c r="BV60">
        <v>37</v>
      </c>
      <c r="BW60" s="224">
        <v>4900</v>
      </c>
      <c r="BX60">
        <v>500</v>
      </c>
      <c r="BY60">
        <v>275</v>
      </c>
      <c r="BZ60">
        <v>700</v>
      </c>
      <c r="CA60">
        <v>19</v>
      </c>
      <c r="CB60">
        <v>19.7</v>
      </c>
      <c r="CC60">
        <v>18.600000000000001</v>
      </c>
      <c r="CD60">
        <v>72.599999999999994</v>
      </c>
      <c r="CE60">
        <v>67</v>
      </c>
      <c r="CF60">
        <v>7.2</v>
      </c>
      <c r="CG60">
        <v>7.1</v>
      </c>
      <c r="CH60">
        <v>73.5</v>
      </c>
      <c r="CI60">
        <v>73.8</v>
      </c>
      <c r="CJ60">
        <v>89.1</v>
      </c>
      <c r="CK60" s="224">
        <v>2535</v>
      </c>
      <c r="CL60" s="224">
        <v>2335</v>
      </c>
    </row>
    <row r="61" spans="1:90" ht="14.5">
      <c r="A61" t="s">
        <v>251</v>
      </c>
      <c r="B61" t="s">
        <v>252</v>
      </c>
      <c r="C61" t="s">
        <v>253</v>
      </c>
      <c r="D61" s="224">
        <v>150502</v>
      </c>
      <c r="E61" s="224">
        <v>158621</v>
      </c>
      <c r="F61" s="224">
        <v>106606</v>
      </c>
      <c r="G61" s="224">
        <v>105897</v>
      </c>
      <c r="H61" s="224">
        <v>43896</v>
      </c>
      <c r="I61" s="224">
        <v>52724</v>
      </c>
      <c r="J61" s="224">
        <v>5935</v>
      </c>
      <c r="K61" s="224">
        <v>7159</v>
      </c>
      <c r="L61">
        <v>8.8000000000000007</v>
      </c>
      <c r="M61">
        <v>80.2</v>
      </c>
      <c r="N61">
        <v>83.6</v>
      </c>
      <c r="O61">
        <v>62.3</v>
      </c>
      <c r="P61">
        <v>61.7</v>
      </c>
      <c r="Q61">
        <v>555</v>
      </c>
      <c r="R61">
        <v>465</v>
      </c>
      <c r="S61" s="224">
        <v>34828</v>
      </c>
      <c r="T61">
        <v>18.600000000000001</v>
      </c>
      <c r="U61" s="224">
        <v>9818</v>
      </c>
      <c r="V61">
        <v>5.2</v>
      </c>
      <c r="W61" s="224">
        <v>16577</v>
      </c>
      <c r="X61">
        <v>4.9000000000000004</v>
      </c>
      <c r="Y61">
        <v>1.7</v>
      </c>
      <c r="Z61">
        <v>2.7</v>
      </c>
      <c r="AA61" s="224">
        <v>2132</v>
      </c>
      <c r="AB61" s="224">
        <v>2227</v>
      </c>
      <c r="AC61" s="224">
        <v>3250</v>
      </c>
      <c r="AD61">
        <v>395</v>
      </c>
      <c r="AE61">
        <v>290</v>
      </c>
      <c r="AF61" t="s">
        <v>597</v>
      </c>
      <c r="AG61" t="s">
        <v>597</v>
      </c>
      <c r="AH61">
        <v>155</v>
      </c>
      <c r="AI61" s="224">
        <v>1395</v>
      </c>
      <c r="AJ61" t="s">
        <v>597</v>
      </c>
      <c r="AK61" t="s">
        <v>597</v>
      </c>
      <c r="AL61">
        <v>900</v>
      </c>
      <c r="AM61" s="224">
        <v>2350</v>
      </c>
      <c r="AN61">
        <v>70.400000000000006</v>
      </c>
      <c r="AO61" s="224">
        <v>111920</v>
      </c>
      <c r="AP61" s="224">
        <v>124508</v>
      </c>
      <c r="AQ61" s="224">
        <v>107404</v>
      </c>
      <c r="AR61" s="224">
        <v>212643</v>
      </c>
      <c r="AS61" s="224">
        <v>44738</v>
      </c>
      <c r="AT61" s="224">
        <v>52852</v>
      </c>
      <c r="AU61" s="224">
        <v>87079</v>
      </c>
      <c r="AV61" s="224">
        <v>1787</v>
      </c>
      <c r="AW61" s="224">
        <v>26688</v>
      </c>
      <c r="AX61" s="224">
        <v>6720</v>
      </c>
      <c r="AY61" s="224">
        <v>44081</v>
      </c>
      <c r="AZ61" s="224">
        <v>6615</v>
      </c>
      <c r="BA61" s="224">
        <v>84224</v>
      </c>
      <c r="BB61" s="224">
        <v>93694</v>
      </c>
      <c r="BC61" s="225">
        <v>44368.89</v>
      </c>
      <c r="BD61" s="225">
        <v>22877.45</v>
      </c>
      <c r="BE61">
        <v>439.34</v>
      </c>
      <c r="BF61" s="225">
        <v>1129.8800000000001</v>
      </c>
      <c r="BG61" s="224">
        <v>16855</v>
      </c>
      <c r="BH61">
        <v>0</v>
      </c>
      <c r="BI61" s="224">
        <v>7920</v>
      </c>
      <c r="BJ61" s="224">
        <v>16877</v>
      </c>
      <c r="BK61">
        <v>457</v>
      </c>
      <c r="BL61" s="224">
        <v>5100</v>
      </c>
      <c r="BM61" s="224">
        <v>5500</v>
      </c>
      <c r="BN61">
        <v>225</v>
      </c>
      <c r="BO61" s="224">
        <v>5200</v>
      </c>
      <c r="BP61">
        <v>325</v>
      </c>
      <c r="BQ61">
        <v>78</v>
      </c>
      <c r="BR61">
        <v>7</v>
      </c>
      <c r="BS61">
        <v>18</v>
      </c>
      <c r="BT61">
        <v>44</v>
      </c>
      <c r="BU61">
        <v>44</v>
      </c>
      <c r="BV61">
        <v>80</v>
      </c>
      <c r="BW61" s="224">
        <v>3800</v>
      </c>
      <c r="BX61">
        <v>425</v>
      </c>
      <c r="BY61">
        <v>300</v>
      </c>
      <c r="BZ61" s="224">
        <v>1000</v>
      </c>
      <c r="CA61">
        <v>19.600000000000001</v>
      </c>
      <c r="CB61">
        <v>20.3</v>
      </c>
      <c r="CC61">
        <v>19.100000000000001</v>
      </c>
      <c r="CD61">
        <v>79.5</v>
      </c>
      <c r="CE61">
        <v>77.2</v>
      </c>
      <c r="CF61">
        <v>6.7</v>
      </c>
      <c r="CG61">
        <v>6.8</v>
      </c>
      <c r="CH61">
        <v>73.400000000000006</v>
      </c>
      <c r="CI61">
        <v>74.599999999999994</v>
      </c>
      <c r="CJ61">
        <v>81.7</v>
      </c>
      <c r="CK61">
        <v>195</v>
      </c>
      <c r="CL61">
        <v>200</v>
      </c>
    </row>
    <row r="62" spans="1:90" ht="14.5">
      <c r="A62" t="s">
        <v>254</v>
      </c>
      <c r="B62" t="s">
        <v>255</v>
      </c>
      <c r="C62" t="s">
        <v>256</v>
      </c>
      <c r="D62" s="224">
        <v>904537</v>
      </c>
      <c r="E62" s="224">
        <v>965440</v>
      </c>
      <c r="F62" s="224">
        <v>711386</v>
      </c>
      <c r="G62" s="224">
        <v>744135</v>
      </c>
      <c r="H62" s="224">
        <v>193151</v>
      </c>
      <c r="I62" s="224">
        <v>221305</v>
      </c>
      <c r="J62" s="224">
        <v>28331</v>
      </c>
      <c r="K62" s="224">
        <v>33648</v>
      </c>
      <c r="L62">
        <v>7.7</v>
      </c>
      <c r="M62">
        <v>81.099999999999994</v>
      </c>
      <c r="N62">
        <v>84.7</v>
      </c>
      <c r="O62">
        <v>65.400000000000006</v>
      </c>
      <c r="P62">
        <v>65.5</v>
      </c>
      <c r="Q62" s="225">
        <v>3440</v>
      </c>
      <c r="R62" s="224">
        <v>3005</v>
      </c>
      <c r="S62" s="224">
        <v>172675</v>
      </c>
      <c r="T62">
        <v>14.4</v>
      </c>
      <c r="U62" s="224">
        <v>45046</v>
      </c>
      <c r="V62">
        <v>3.8</v>
      </c>
      <c r="W62" s="224">
        <v>92781</v>
      </c>
      <c r="X62">
        <v>4.5999999999999996</v>
      </c>
      <c r="Y62">
        <v>1.5</v>
      </c>
      <c r="Z62">
        <v>2.1</v>
      </c>
      <c r="AA62" s="224">
        <v>9964</v>
      </c>
      <c r="AB62" s="224">
        <v>10141</v>
      </c>
      <c r="AC62" s="224">
        <v>15470</v>
      </c>
      <c r="AD62" s="224">
        <v>1995</v>
      </c>
      <c r="AE62" s="224">
        <v>2365</v>
      </c>
      <c r="AF62">
        <v>365</v>
      </c>
      <c r="AG62" t="s">
        <v>597</v>
      </c>
      <c r="AH62">
        <v>985</v>
      </c>
      <c r="AI62" s="224">
        <v>5240</v>
      </c>
      <c r="AJ62">
        <v>50</v>
      </c>
      <c r="AK62" t="s">
        <v>597</v>
      </c>
      <c r="AL62" s="224">
        <v>5585</v>
      </c>
      <c r="AM62" s="224">
        <v>9885</v>
      </c>
      <c r="AN62">
        <v>68.2</v>
      </c>
      <c r="AO62" s="224">
        <v>628640</v>
      </c>
      <c r="AP62" s="224">
        <v>659535</v>
      </c>
      <c r="AQ62" s="224">
        <v>562519</v>
      </c>
      <c r="AR62" s="224">
        <v>1027197</v>
      </c>
      <c r="AS62" s="224">
        <v>295144</v>
      </c>
      <c r="AT62" s="224">
        <v>250283</v>
      </c>
      <c r="AU62" s="224">
        <v>503717</v>
      </c>
      <c r="AV62" s="224">
        <v>2335</v>
      </c>
      <c r="AW62" s="224">
        <v>214688</v>
      </c>
      <c r="AX62" s="224">
        <v>4832</v>
      </c>
      <c r="AY62" s="224">
        <v>156612</v>
      </c>
      <c r="AZ62" s="224">
        <v>6390</v>
      </c>
      <c r="BA62" s="224">
        <v>453090</v>
      </c>
      <c r="BB62" s="224">
        <v>510107</v>
      </c>
      <c r="BC62" s="225">
        <v>51040.82</v>
      </c>
      <c r="BD62" s="225">
        <v>22766.21</v>
      </c>
      <c r="BE62">
        <v>399.76</v>
      </c>
      <c r="BF62" s="225">
        <v>1152.78</v>
      </c>
      <c r="BG62" s="224">
        <v>94886</v>
      </c>
      <c r="BH62">
        <v>0</v>
      </c>
      <c r="BI62" s="224">
        <v>29159</v>
      </c>
      <c r="BJ62" s="224">
        <v>35606</v>
      </c>
      <c r="BK62" s="224">
        <v>2247</v>
      </c>
      <c r="BL62" s="224">
        <v>30000</v>
      </c>
      <c r="BM62" s="224">
        <v>32000</v>
      </c>
      <c r="BN62" s="224">
        <v>2000</v>
      </c>
      <c r="BO62" s="224">
        <v>29000</v>
      </c>
      <c r="BP62" s="224">
        <v>2600</v>
      </c>
      <c r="BQ62">
        <v>77</v>
      </c>
      <c r="BR62">
        <v>9</v>
      </c>
      <c r="BS62">
        <v>35</v>
      </c>
      <c r="BT62">
        <v>36</v>
      </c>
      <c r="BU62">
        <v>44</v>
      </c>
      <c r="BV62">
        <v>50</v>
      </c>
      <c r="BW62" s="224">
        <v>24000</v>
      </c>
      <c r="BX62" s="224">
        <v>2900</v>
      </c>
      <c r="BY62" s="224">
        <v>1100</v>
      </c>
      <c r="BZ62" s="224">
        <v>4000</v>
      </c>
      <c r="CA62">
        <v>19.2</v>
      </c>
      <c r="CB62">
        <v>19.7</v>
      </c>
      <c r="CC62">
        <v>18.8</v>
      </c>
      <c r="CD62">
        <v>80</v>
      </c>
      <c r="CE62">
        <v>77.2</v>
      </c>
      <c r="CF62">
        <v>7.5</v>
      </c>
      <c r="CG62">
        <v>7.8</v>
      </c>
      <c r="CH62">
        <v>76.5</v>
      </c>
      <c r="CI62">
        <v>77.2</v>
      </c>
      <c r="CJ62">
        <v>79.400000000000006</v>
      </c>
      <c r="CK62" s="224">
        <v>4530</v>
      </c>
      <c r="CL62" s="224">
        <v>4830</v>
      </c>
    </row>
    <row r="63" spans="1:90" ht="14.5">
      <c r="A63" t="s">
        <v>257</v>
      </c>
      <c r="B63" t="s">
        <v>258</v>
      </c>
      <c r="C63" t="s">
        <v>259</v>
      </c>
      <c r="D63" s="224">
        <v>224384</v>
      </c>
      <c r="E63" s="224">
        <v>254029</v>
      </c>
      <c r="F63" s="224">
        <v>186049</v>
      </c>
      <c r="G63" s="224">
        <v>209681</v>
      </c>
      <c r="H63" s="224">
        <v>38335</v>
      </c>
      <c r="I63" s="224">
        <v>44348</v>
      </c>
      <c r="J63" s="224">
        <v>5156</v>
      </c>
      <c r="K63" s="224">
        <v>6224</v>
      </c>
      <c r="L63">
        <v>7.4</v>
      </c>
      <c r="M63">
        <v>80</v>
      </c>
      <c r="N63">
        <v>84.5</v>
      </c>
      <c r="O63">
        <v>64.400000000000006</v>
      </c>
      <c r="P63">
        <v>64.7</v>
      </c>
      <c r="Q63">
        <v>755</v>
      </c>
      <c r="R63">
        <v>665</v>
      </c>
      <c r="S63" s="224">
        <v>39466</v>
      </c>
      <c r="T63">
        <v>12.9</v>
      </c>
      <c r="U63" s="224">
        <v>12120</v>
      </c>
      <c r="V63">
        <v>4</v>
      </c>
      <c r="W63" s="224">
        <v>22463</v>
      </c>
      <c r="X63">
        <v>3.8</v>
      </c>
      <c r="Y63">
        <v>1.7</v>
      </c>
      <c r="Z63">
        <v>2.2999999999999998</v>
      </c>
      <c r="AA63" s="224">
        <v>1606</v>
      </c>
      <c r="AB63" s="224">
        <v>1557</v>
      </c>
      <c r="AC63" s="224">
        <v>3900</v>
      </c>
      <c r="AD63">
        <v>320</v>
      </c>
      <c r="AE63" t="s">
        <v>597</v>
      </c>
      <c r="AF63" t="s">
        <v>597</v>
      </c>
      <c r="AG63" s="224">
        <v>1035</v>
      </c>
      <c r="AH63">
        <v>175</v>
      </c>
      <c r="AI63" t="s">
        <v>597</v>
      </c>
      <c r="AJ63" t="s">
        <v>597</v>
      </c>
      <c r="AK63" s="224">
        <v>1425</v>
      </c>
      <c r="AL63" s="224">
        <v>1570</v>
      </c>
      <c r="AM63" s="224">
        <v>2330</v>
      </c>
      <c r="AN63">
        <v>62</v>
      </c>
      <c r="AO63" s="224">
        <v>127813</v>
      </c>
      <c r="AP63" s="224">
        <v>138614</v>
      </c>
      <c r="AQ63" s="224">
        <v>119151</v>
      </c>
      <c r="AR63" s="224">
        <v>178138</v>
      </c>
      <c r="AS63" s="224">
        <v>64536</v>
      </c>
      <c r="AT63" s="224">
        <v>41388</v>
      </c>
      <c r="AU63" s="224">
        <v>103909</v>
      </c>
      <c r="AV63" s="224">
        <v>1382</v>
      </c>
      <c r="AW63" s="224">
        <v>41642</v>
      </c>
      <c r="AX63" s="224">
        <v>4160</v>
      </c>
      <c r="AY63" s="224">
        <v>16836</v>
      </c>
      <c r="AZ63" s="224">
        <v>5105</v>
      </c>
      <c r="BA63" s="224">
        <v>95851</v>
      </c>
      <c r="BB63" s="224">
        <v>109014</v>
      </c>
      <c r="BC63" s="225">
        <v>39598.089999999997</v>
      </c>
      <c r="BD63" s="225">
        <v>20105.150000000001</v>
      </c>
      <c r="BE63">
        <v>314.37</v>
      </c>
      <c r="BF63" s="225">
        <v>1027.06</v>
      </c>
      <c r="BG63" s="224">
        <v>17417</v>
      </c>
      <c r="BH63">
        <v>0</v>
      </c>
      <c r="BI63" s="224">
        <v>12910</v>
      </c>
      <c r="BJ63" s="224">
        <v>29939</v>
      </c>
      <c r="BK63" s="224">
        <v>1833</v>
      </c>
      <c r="BL63" s="224">
        <v>4800</v>
      </c>
      <c r="BM63" s="224">
        <v>6200</v>
      </c>
      <c r="BN63">
        <v>550</v>
      </c>
      <c r="BO63" s="224">
        <v>5900</v>
      </c>
      <c r="BP63">
        <v>350</v>
      </c>
      <c r="BQ63">
        <v>78</v>
      </c>
      <c r="BR63">
        <v>8</v>
      </c>
      <c r="BS63">
        <v>39</v>
      </c>
      <c r="BT63">
        <v>34</v>
      </c>
      <c r="BU63">
        <v>43</v>
      </c>
      <c r="BV63">
        <v>32</v>
      </c>
      <c r="BW63" s="224">
        <v>5000</v>
      </c>
      <c r="BX63">
        <v>475</v>
      </c>
      <c r="BY63">
        <v>200</v>
      </c>
      <c r="BZ63">
        <v>550</v>
      </c>
      <c r="CA63">
        <v>19.100000000000001</v>
      </c>
      <c r="CB63">
        <v>19.899999999999999</v>
      </c>
      <c r="CC63">
        <v>18.399999999999999</v>
      </c>
      <c r="CD63">
        <v>75.2</v>
      </c>
      <c r="CE63">
        <v>71.400000000000006</v>
      </c>
      <c r="CF63">
        <v>6.8</v>
      </c>
      <c r="CG63">
        <v>7</v>
      </c>
      <c r="CH63">
        <v>73.400000000000006</v>
      </c>
      <c r="CI63">
        <v>72.400000000000006</v>
      </c>
      <c r="CJ63">
        <v>90.7</v>
      </c>
      <c r="CK63">
        <v>590</v>
      </c>
      <c r="CL63">
        <v>590</v>
      </c>
    </row>
    <row r="64" spans="1:90" ht="14.5">
      <c r="A64" t="s">
        <v>260</v>
      </c>
      <c r="B64" t="s">
        <v>261</v>
      </c>
      <c r="C64" t="s">
        <v>262</v>
      </c>
      <c r="D64" s="224">
        <v>211993</v>
      </c>
      <c r="E64" s="224">
        <v>235317</v>
      </c>
      <c r="F64" s="224">
        <v>181944</v>
      </c>
      <c r="G64" s="224">
        <v>197462</v>
      </c>
      <c r="H64" s="224">
        <v>30049</v>
      </c>
      <c r="I64" s="224">
        <v>37855</v>
      </c>
      <c r="J64" s="224">
        <v>3536</v>
      </c>
      <c r="K64" s="224">
        <v>4645</v>
      </c>
      <c r="L64">
        <v>6.7</v>
      </c>
      <c r="M64">
        <v>80.3</v>
      </c>
      <c r="N64">
        <v>84.7</v>
      </c>
      <c r="O64">
        <v>59.6</v>
      </c>
      <c r="P64">
        <v>59.4</v>
      </c>
      <c r="Q64">
        <v>555</v>
      </c>
      <c r="R64">
        <v>485</v>
      </c>
      <c r="S64" s="224">
        <v>35294</v>
      </c>
      <c r="T64">
        <v>12.2</v>
      </c>
      <c r="U64" s="224">
        <v>11920</v>
      </c>
      <c r="V64">
        <v>4.0999999999999996</v>
      </c>
      <c r="W64" s="224">
        <v>19403</v>
      </c>
      <c r="X64">
        <v>3.3</v>
      </c>
      <c r="Y64">
        <v>1.8</v>
      </c>
      <c r="Z64">
        <v>2.1</v>
      </c>
      <c r="AA64">
        <v>881</v>
      </c>
      <c r="AB64">
        <v>885</v>
      </c>
      <c r="AC64" s="224">
        <v>4270</v>
      </c>
      <c r="AD64">
        <v>310</v>
      </c>
      <c r="AE64">
        <v>880</v>
      </c>
      <c r="AF64">
        <v>515</v>
      </c>
      <c r="AG64" t="s">
        <v>597</v>
      </c>
      <c r="AH64">
        <v>250</v>
      </c>
      <c r="AI64" s="224">
        <v>1560</v>
      </c>
      <c r="AJ64">
        <v>110</v>
      </c>
      <c r="AK64" t="s">
        <v>597</v>
      </c>
      <c r="AL64" s="224">
        <v>1845</v>
      </c>
      <c r="AM64" s="224">
        <v>2425</v>
      </c>
      <c r="AN64">
        <v>61.4</v>
      </c>
      <c r="AO64" s="224">
        <v>120853</v>
      </c>
      <c r="AP64" s="224">
        <v>133856</v>
      </c>
      <c r="AQ64" s="224">
        <v>121589</v>
      </c>
      <c r="AR64" s="224">
        <v>254895</v>
      </c>
      <c r="AS64" s="224">
        <v>52771</v>
      </c>
      <c r="AT64" s="224">
        <v>54701</v>
      </c>
      <c r="AU64" s="224">
        <v>95928</v>
      </c>
      <c r="AV64" s="224">
        <v>2666</v>
      </c>
      <c r="AW64" s="224">
        <v>32960</v>
      </c>
      <c r="AX64">
        <v>465</v>
      </c>
      <c r="AY64" s="224">
        <v>36148</v>
      </c>
      <c r="AZ64" s="224">
        <v>2394</v>
      </c>
      <c r="BA64" s="224">
        <v>83245</v>
      </c>
      <c r="BB64" s="224">
        <v>98322</v>
      </c>
      <c r="BC64" s="225">
        <v>27696.48</v>
      </c>
      <c r="BD64" s="225">
        <v>19472.990000000002</v>
      </c>
      <c r="BE64">
        <v>280.75</v>
      </c>
      <c r="BF64" s="225">
        <v>1457.3</v>
      </c>
      <c r="BG64" s="224">
        <v>16774</v>
      </c>
      <c r="BH64">
        <v>0</v>
      </c>
      <c r="BI64">
        <v>0</v>
      </c>
      <c r="BJ64" s="224">
        <v>21838</v>
      </c>
      <c r="BK64">
        <v>945</v>
      </c>
      <c r="BL64" s="224">
        <v>4300</v>
      </c>
      <c r="BM64" s="224">
        <v>4800</v>
      </c>
      <c r="BN64">
        <v>475</v>
      </c>
      <c r="BO64" s="224">
        <v>4200</v>
      </c>
      <c r="BP64">
        <v>600</v>
      </c>
      <c r="BQ64">
        <v>80</v>
      </c>
      <c r="BR64">
        <v>11</v>
      </c>
      <c r="BS64">
        <v>43</v>
      </c>
      <c r="BT64">
        <v>39</v>
      </c>
      <c r="BU64">
        <v>44</v>
      </c>
      <c r="BV64">
        <v>24</v>
      </c>
      <c r="BW64" s="224">
        <v>3600</v>
      </c>
      <c r="BX64">
        <v>400</v>
      </c>
      <c r="BY64">
        <v>175</v>
      </c>
      <c r="BZ64">
        <v>550</v>
      </c>
      <c r="CA64">
        <v>18.7</v>
      </c>
      <c r="CB64">
        <v>19.2</v>
      </c>
      <c r="CC64">
        <v>18.3</v>
      </c>
      <c r="CD64">
        <v>72.400000000000006</v>
      </c>
      <c r="CE64">
        <v>66.900000000000006</v>
      </c>
      <c r="CF64">
        <v>7</v>
      </c>
      <c r="CG64">
        <v>7.3</v>
      </c>
      <c r="CH64">
        <v>66.8</v>
      </c>
      <c r="CI64">
        <v>67.599999999999994</v>
      </c>
      <c r="CJ64">
        <v>79.3</v>
      </c>
      <c r="CK64" s="224">
        <v>1275</v>
      </c>
      <c r="CL64" s="224">
        <v>1280</v>
      </c>
    </row>
    <row r="65" spans="1:90" ht="14.5">
      <c r="A65" t="s">
        <v>263</v>
      </c>
      <c r="B65" t="s">
        <v>264</v>
      </c>
      <c r="C65" t="s">
        <v>265</v>
      </c>
      <c r="D65" s="224">
        <v>114340</v>
      </c>
      <c r="E65" s="224">
        <v>118018</v>
      </c>
      <c r="F65" s="224">
        <v>77242</v>
      </c>
      <c r="G65" s="224">
        <v>74419</v>
      </c>
      <c r="H65" s="224">
        <v>37098</v>
      </c>
      <c r="I65" s="224">
        <v>43599</v>
      </c>
      <c r="J65" s="224">
        <v>5173</v>
      </c>
      <c r="K65" s="224">
        <v>5843</v>
      </c>
      <c r="L65">
        <v>10.1</v>
      </c>
      <c r="M65">
        <v>80.5</v>
      </c>
      <c r="N65">
        <v>84</v>
      </c>
      <c r="O65">
        <v>58.6</v>
      </c>
      <c r="P65">
        <v>59.3</v>
      </c>
      <c r="Q65">
        <v>530</v>
      </c>
      <c r="R65">
        <v>470</v>
      </c>
      <c r="S65" s="224">
        <v>32755</v>
      </c>
      <c r="T65">
        <v>23.3</v>
      </c>
      <c r="U65" s="224">
        <v>9465</v>
      </c>
      <c r="V65">
        <v>6.7</v>
      </c>
      <c r="W65" s="224">
        <v>14205</v>
      </c>
      <c r="X65">
        <v>4.9000000000000004</v>
      </c>
      <c r="Y65">
        <v>2</v>
      </c>
      <c r="Z65">
        <v>3.6</v>
      </c>
      <c r="AA65" s="224">
        <v>1700</v>
      </c>
      <c r="AB65" s="224">
        <v>1798</v>
      </c>
      <c r="AC65" s="224">
        <v>3115</v>
      </c>
      <c r="AD65">
        <v>590</v>
      </c>
      <c r="AE65">
        <v>245</v>
      </c>
      <c r="AF65" t="s">
        <v>597</v>
      </c>
      <c r="AG65" t="s">
        <v>597</v>
      </c>
      <c r="AH65">
        <v>285</v>
      </c>
      <c r="AI65">
        <v>740</v>
      </c>
      <c r="AJ65" t="s">
        <v>597</v>
      </c>
      <c r="AK65" t="s">
        <v>597</v>
      </c>
      <c r="AL65" s="224">
        <v>1060</v>
      </c>
      <c r="AM65" s="224">
        <v>2055</v>
      </c>
      <c r="AN65">
        <v>66.900000000000006</v>
      </c>
      <c r="AO65" s="224">
        <v>105106</v>
      </c>
      <c r="AP65" s="224">
        <v>119468</v>
      </c>
      <c r="AQ65" s="224">
        <v>99405</v>
      </c>
      <c r="AR65" s="224">
        <v>183053</v>
      </c>
      <c r="AS65" s="224">
        <v>37793</v>
      </c>
      <c r="AT65" s="224">
        <v>48291</v>
      </c>
      <c r="AU65" s="224">
        <v>76298</v>
      </c>
      <c r="AV65" s="224">
        <v>1441</v>
      </c>
      <c r="AW65" s="224">
        <v>24817</v>
      </c>
      <c r="AX65" s="224">
        <v>4651</v>
      </c>
      <c r="AY65" s="224">
        <v>32772</v>
      </c>
      <c r="AZ65" s="224">
        <v>4723</v>
      </c>
      <c r="BA65" s="224">
        <v>73705</v>
      </c>
      <c r="BB65" s="224">
        <v>81021</v>
      </c>
      <c r="BC65" s="225">
        <v>32666.04</v>
      </c>
      <c r="BD65" s="225">
        <v>22576.639999999999</v>
      </c>
      <c r="BE65">
        <v>527.20000000000005</v>
      </c>
      <c r="BF65" s="225">
        <v>1214.29</v>
      </c>
      <c r="BG65" s="224">
        <v>20063</v>
      </c>
      <c r="BH65">
        <v>23</v>
      </c>
      <c r="BI65" s="224">
        <v>7936</v>
      </c>
      <c r="BJ65" s="224">
        <v>8872</v>
      </c>
      <c r="BK65">
        <v>633</v>
      </c>
      <c r="BL65" s="224">
        <v>4200</v>
      </c>
      <c r="BM65" s="224">
        <v>4700</v>
      </c>
      <c r="BN65">
        <v>375</v>
      </c>
      <c r="BO65" s="224">
        <v>4000</v>
      </c>
      <c r="BP65">
        <v>650</v>
      </c>
      <c r="BQ65">
        <v>74</v>
      </c>
      <c r="BR65">
        <v>4</v>
      </c>
      <c r="BS65">
        <v>15</v>
      </c>
      <c r="BT65">
        <v>45</v>
      </c>
      <c r="BU65">
        <v>44</v>
      </c>
      <c r="BV65">
        <v>86</v>
      </c>
      <c r="BW65" s="224">
        <v>3300</v>
      </c>
      <c r="BX65">
        <v>375</v>
      </c>
      <c r="BY65">
        <v>175</v>
      </c>
      <c r="BZ65">
        <v>800</v>
      </c>
      <c r="CA65">
        <v>19.5</v>
      </c>
      <c r="CB65">
        <v>19.7</v>
      </c>
      <c r="CC65">
        <v>19.3</v>
      </c>
      <c r="CD65">
        <v>82.8</v>
      </c>
      <c r="CE65">
        <v>78.599999999999994</v>
      </c>
      <c r="CF65">
        <v>7.5</v>
      </c>
      <c r="CG65">
        <v>7.5</v>
      </c>
      <c r="CH65">
        <v>71.8</v>
      </c>
      <c r="CI65">
        <v>76.2</v>
      </c>
      <c r="CJ65">
        <v>93.5</v>
      </c>
      <c r="CK65">
        <v>940</v>
      </c>
      <c r="CL65">
        <v>770</v>
      </c>
    </row>
    <row r="66" spans="1:90" ht="14.5">
      <c r="A66" t="s">
        <v>266</v>
      </c>
      <c r="B66" t="s">
        <v>267</v>
      </c>
      <c r="C66" t="s">
        <v>268</v>
      </c>
      <c r="D66" s="224">
        <v>1871</v>
      </c>
      <c r="E66" s="224">
        <v>1958</v>
      </c>
      <c r="F66" s="224">
        <v>1296</v>
      </c>
      <c r="G66" s="224">
        <v>1342</v>
      </c>
      <c r="H66">
        <v>575</v>
      </c>
      <c r="I66">
        <v>616</v>
      </c>
      <c r="J66">
        <v>81</v>
      </c>
      <c r="K66">
        <v>106</v>
      </c>
      <c r="L66">
        <v>8.8000000000000007</v>
      </c>
      <c r="M66" t="s">
        <v>597</v>
      </c>
      <c r="N66" t="s">
        <v>597</v>
      </c>
      <c r="O66" t="s">
        <v>597</v>
      </c>
      <c r="P66" t="s">
        <v>597</v>
      </c>
      <c r="Q66" t="s">
        <v>597</v>
      </c>
      <c r="R66" t="s">
        <v>597</v>
      </c>
      <c r="S66">
        <v>294</v>
      </c>
      <c r="T66">
        <v>14.3</v>
      </c>
      <c r="U66">
        <v>83</v>
      </c>
      <c r="V66">
        <v>4</v>
      </c>
      <c r="W66">
        <v>199</v>
      </c>
      <c r="X66">
        <v>6</v>
      </c>
      <c r="Y66">
        <v>1.4</v>
      </c>
      <c r="Z66">
        <v>2.8</v>
      </c>
      <c r="AA66">
        <v>14</v>
      </c>
      <c r="AB66">
        <v>26</v>
      </c>
      <c r="AC66" t="s">
        <v>598</v>
      </c>
      <c r="AD66" t="s">
        <v>598</v>
      </c>
      <c r="AE66" t="s">
        <v>598</v>
      </c>
      <c r="AF66" t="s">
        <v>598</v>
      </c>
      <c r="AG66" t="s">
        <v>598</v>
      </c>
      <c r="AH66" t="s">
        <v>598</v>
      </c>
      <c r="AI66" t="s">
        <v>598</v>
      </c>
      <c r="AJ66" t="s">
        <v>598</v>
      </c>
      <c r="AK66" t="s">
        <v>598</v>
      </c>
      <c r="AL66" t="s">
        <v>598</v>
      </c>
      <c r="AM66" t="s">
        <v>598</v>
      </c>
      <c r="AN66" t="s">
        <v>598</v>
      </c>
      <c r="AO66" s="224">
        <v>2196</v>
      </c>
      <c r="AP66" s="224">
        <v>2405</v>
      </c>
      <c r="AQ66" t="s">
        <v>598</v>
      </c>
      <c r="AR66" t="s">
        <v>598</v>
      </c>
      <c r="AS66">
        <v>160</v>
      </c>
      <c r="AT66" s="224">
        <v>1560</v>
      </c>
      <c r="AU66" s="224">
        <v>1632</v>
      </c>
      <c r="AV66">
        <v>0</v>
      </c>
      <c r="AW66">
        <v>146</v>
      </c>
      <c r="AX66">
        <v>21</v>
      </c>
      <c r="AY66">
        <v>782</v>
      </c>
      <c r="AZ66">
        <v>20</v>
      </c>
      <c r="BA66" s="224">
        <v>1668</v>
      </c>
      <c r="BB66" s="224">
        <v>1652</v>
      </c>
      <c r="BC66" t="s">
        <v>598</v>
      </c>
      <c r="BD66" t="s">
        <v>598</v>
      </c>
      <c r="BE66">
        <v>119.23</v>
      </c>
      <c r="BF66" s="225">
        <v>2566.56</v>
      </c>
      <c r="BG66">
        <v>289</v>
      </c>
      <c r="BH66">
        <v>0</v>
      </c>
      <c r="BI66">
        <v>255</v>
      </c>
      <c r="BJ66">
        <v>258</v>
      </c>
      <c r="BK66">
        <v>0</v>
      </c>
      <c r="BL66"/>
      <c r="BM66"/>
      <c r="BN66"/>
      <c r="BO66"/>
      <c r="BP66"/>
      <c r="BQ66"/>
      <c r="BR66"/>
      <c r="BS66"/>
      <c r="BT66"/>
      <c r="BU66"/>
      <c r="BV66"/>
      <c r="BW66"/>
      <c r="BX66"/>
      <c r="BY66"/>
      <c r="BZ66"/>
      <c r="CA66" t="s">
        <v>598</v>
      </c>
      <c r="CB66" t="s">
        <v>598</v>
      </c>
      <c r="CC66" t="s">
        <v>598</v>
      </c>
      <c r="CD66" t="s">
        <v>598</v>
      </c>
      <c r="CE66" t="s">
        <v>598</v>
      </c>
      <c r="CF66" t="s">
        <v>598</v>
      </c>
      <c r="CG66" t="s">
        <v>598</v>
      </c>
      <c r="CH66" t="s">
        <v>598</v>
      </c>
      <c r="CI66" t="s">
        <v>598</v>
      </c>
      <c r="CJ66">
        <v>0</v>
      </c>
      <c r="CK66">
        <v>10</v>
      </c>
      <c r="CL66">
        <v>25</v>
      </c>
    </row>
    <row r="67" spans="1:90" ht="14.5">
      <c r="A67" t="s">
        <v>269</v>
      </c>
      <c r="B67" t="s">
        <v>270</v>
      </c>
      <c r="C67" t="s">
        <v>271</v>
      </c>
      <c r="D67" s="224">
        <v>180928</v>
      </c>
      <c r="E67" s="224">
        <v>190447</v>
      </c>
      <c r="F67" s="224">
        <v>161681</v>
      </c>
      <c r="G67" s="224">
        <v>167970</v>
      </c>
      <c r="H67" s="224">
        <v>19247</v>
      </c>
      <c r="I67" s="224">
        <v>22477</v>
      </c>
      <c r="J67" s="224">
        <v>2290</v>
      </c>
      <c r="K67" s="224">
        <v>2392</v>
      </c>
      <c r="L67">
        <v>6.8</v>
      </c>
      <c r="M67">
        <v>78.7</v>
      </c>
      <c r="N67">
        <v>83.7</v>
      </c>
      <c r="O67">
        <v>60.5</v>
      </c>
      <c r="P67">
        <v>60.5</v>
      </c>
      <c r="Q67">
        <v>675</v>
      </c>
      <c r="R67">
        <v>610</v>
      </c>
      <c r="S67" s="224">
        <v>35063</v>
      </c>
      <c r="T67">
        <v>16.2</v>
      </c>
      <c r="U67" s="224">
        <v>12009</v>
      </c>
      <c r="V67">
        <v>5.5</v>
      </c>
      <c r="W67" s="224">
        <v>14840</v>
      </c>
      <c r="X67">
        <v>3.6</v>
      </c>
      <c r="Y67">
        <v>1.7</v>
      </c>
      <c r="Z67">
        <v>1.9</v>
      </c>
      <c r="AA67">
        <v>758</v>
      </c>
      <c r="AB67">
        <v>758</v>
      </c>
      <c r="AC67" s="224">
        <v>3230</v>
      </c>
      <c r="AD67">
        <v>510</v>
      </c>
      <c r="AE67">
        <v>620</v>
      </c>
      <c r="AF67" t="s">
        <v>597</v>
      </c>
      <c r="AG67" t="s">
        <v>597</v>
      </c>
      <c r="AH67">
        <v>175</v>
      </c>
      <c r="AI67" s="224">
        <v>1120</v>
      </c>
      <c r="AJ67" t="s">
        <v>597</v>
      </c>
      <c r="AK67" t="s">
        <v>597</v>
      </c>
      <c r="AL67" s="224">
        <v>1315</v>
      </c>
      <c r="AM67" s="224">
        <v>1915</v>
      </c>
      <c r="AN67">
        <v>62.1</v>
      </c>
      <c r="AO67" s="224">
        <v>133423</v>
      </c>
      <c r="AP67" s="224">
        <v>150347</v>
      </c>
      <c r="AQ67" s="224">
        <v>137162</v>
      </c>
      <c r="AR67" s="224">
        <v>274568</v>
      </c>
      <c r="AS67" s="224">
        <v>70856</v>
      </c>
      <c r="AT67" s="224">
        <v>38264</v>
      </c>
      <c r="AU67" s="224">
        <v>98320</v>
      </c>
      <c r="AV67" s="224">
        <v>2165</v>
      </c>
      <c r="AW67" s="224">
        <v>37858</v>
      </c>
      <c r="AX67" s="224">
        <v>2306</v>
      </c>
      <c r="AY67" s="224">
        <v>31142</v>
      </c>
      <c r="AZ67" s="224">
        <v>5310</v>
      </c>
      <c r="BA67" s="224">
        <v>100829</v>
      </c>
      <c r="BB67" s="224">
        <v>103630</v>
      </c>
      <c r="BC67" s="225">
        <v>47609.89</v>
      </c>
      <c r="BD67" s="225">
        <v>21421.93</v>
      </c>
      <c r="BE67">
        <v>434.73</v>
      </c>
      <c r="BF67" s="225">
        <v>1804.96</v>
      </c>
      <c r="BG67" s="224">
        <v>14041</v>
      </c>
      <c r="BH67">
        <v>0</v>
      </c>
      <c r="BI67" s="224">
        <v>15012</v>
      </c>
      <c r="BJ67" s="224">
        <v>30252</v>
      </c>
      <c r="BK67" s="224">
        <v>7494</v>
      </c>
      <c r="BL67" s="224">
        <v>5800</v>
      </c>
      <c r="BM67" s="224">
        <v>6700</v>
      </c>
      <c r="BN67">
        <v>500</v>
      </c>
      <c r="BO67" s="224">
        <v>6200</v>
      </c>
      <c r="BP67">
        <v>475</v>
      </c>
      <c r="BQ67">
        <v>72</v>
      </c>
      <c r="BR67">
        <v>5</v>
      </c>
      <c r="BS67">
        <v>33</v>
      </c>
      <c r="BT67">
        <v>36</v>
      </c>
      <c r="BU67">
        <v>45</v>
      </c>
      <c r="BV67">
        <v>23</v>
      </c>
      <c r="BW67" s="224">
        <v>4800</v>
      </c>
      <c r="BX67">
        <v>650</v>
      </c>
      <c r="BY67">
        <v>275</v>
      </c>
      <c r="BZ67">
        <v>900</v>
      </c>
      <c r="CA67">
        <v>18.8</v>
      </c>
      <c r="CB67">
        <v>19.5</v>
      </c>
      <c r="CC67">
        <v>18.2</v>
      </c>
      <c r="CD67">
        <v>77.3</v>
      </c>
      <c r="CE67">
        <v>73.8</v>
      </c>
      <c r="CF67">
        <v>7.8</v>
      </c>
      <c r="CG67">
        <v>8.4</v>
      </c>
      <c r="CH67">
        <v>72</v>
      </c>
      <c r="CI67">
        <v>68.3</v>
      </c>
      <c r="CJ67">
        <v>100</v>
      </c>
      <c r="CK67">
        <v>790</v>
      </c>
      <c r="CL67">
        <v>765</v>
      </c>
    </row>
    <row r="68" spans="1:90" ht="14.5">
      <c r="A68" t="s">
        <v>272</v>
      </c>
      <c r="B68" t="s">
        <v>273</v>
      </c>
      <c r="C68" t="s">
        <v>274</v>
      </c>
      <c r="D68" s="224">
        <v>130137</v>
      </c>
      <c r="E68" s="224">
        <v>125055</v>
      </c>
      <c r="F68" s="224">
        <v>109445</v>
      </c>
      <c r="G68" s="224">
        <v>101569</v>
      </c>
      <c r="H68" s="224">
        <v>20692</v>
      </c>
      <c r="I68" s="224">
        <v>23486</v>
      </c>
      <c r="J68" s="224">
        <v>2652</v>
      </c>
      <c r="K68" s="224">
        <v>2902</v>
      </c>
      <c r="L68">
        <v>6.5</v>
      </c>
      <c r="M68">
        <v>82.2</v>
      </c>
      <c r="N68">
        <v>87.1</v>
      </c>
      <c r="O68">
        <v>66.5</v>
      </c>
      <c r="P68">
        <v>66.8</v>
      </c>
      <c r="Q68">
        <v>260</v>
      </c>
      <c r="R68">
        <v>220</v>
      </c>
      <c r="S68" s="224">
        <v>18311</v>
      </c>
      <c r="T68">
        <v>12.8</v>
      </c>
      <c r="U68" s="224">
        <v>6420</v>
      </c>
      <c r="V68">
        <v>4.5</v>
      </c>
      <c r="W68" s="224">
        <v>9339</v>
      </c>
      <c r="X68">
        <v>3.6</v>
      </c>
      <c r="Y68">
        <v>1.5</v>
      </c>
      <c r="Z68">
        <v>1.7</v>
      </c>
      <c r="AA68">
        <v>443</v>
      </c>
      <c r="AB68">
        <v>443</v>
      </c>
      <c r="AC68" s="224">
        <v>2140</v>
      </c>
      <c r="AD68">
        <v>355</v>
      </c>
      <c r="AE68">
        <v>320</v>
      </c>
      <c r="AF68" t="s">
        <v>597</v>
      </c>
      <c r="AG68" t="s">
        <v>597</v>
      </c>
      <c r="AH68">
        <v>245</v>
      </c>
      <c r="AI68">
        <v>820</v>
      </c>
      <c r="AJ68" t="s">
        <v>597</v>
      </c>
      <c r="AK68" t="s">
        <v>597</v>
      </c>
      <c r="AL68">
        <v>755</v>
      </c>
      <c r="AM68" s="224">
        <v>1385</v>
      </c>
      <c r="AN68">
        <v>66.3</v>
      </c>
      <c r="AO68" s="224">
        <v>71242</v>
      </c>
      <c r="AP68" s="224">
        <v>73343</v>
      </c>
      <c r="AQ68" s="224">
        <v>73235</v>
      </c>
      <c r="AR68" s="224">
        <v>209063</v>
      </c>
      <c r="AS68" s="224">
        <v>25598</v>
      </c>
      <c r="AT68" s="224">
        <v>35742</v>
      </c>
      <c r="AU68" s="224">
        <v>57192</v>
      </c>
      <c r="AV68">
        <v>146</v>
      </c>
      <c r="AW68" s="224">
        <v>13156</v>
      </c>
      <c r="AX68" s="224">
        <v>1332</v>
      </c>
      <c r="AY68" s="224">
        <v>21096</v>
      </c>
      <c r="AZ68">
        <v>856</v>
      </c>
      <c r="BA68" s="224">
        <v>42385</v>
      </c>
      <c r="BB68" s="224">
        <v>58048</v>
      </c>
      <c r="BC68" s="225">
        <v>32333.77</v>
      </c>
      <c r="BD68" s="225">
        <v>24285.919999999998</v>
      </c>
      <c r="BE68">
        <v>253.46</v>
      </c>
      <c r="BF68" s="225">
        <v>1578.56</v>
      </c>
      <c r="BG68" s="224">
        <v>6756</v>
      </c>
      <c r="BH68">
        <v>0</v>
      </c>
      <c r="BI68" s="224">
        <v>11920</v>
      </c>
      <c r="BJ68" s="224">
        <v>15671</v>
      </c>
      <c r="BK68" s="224">
        <v>4978</v>
      </c>
      <c r="BL68" s="224">
        <v>2300</v>
      </c>
      <c r="BM68" s="224">
        <v>2500</v>
      </c>
      <c r="BN68">
        <v>50</v>
      </c>
      <c r="BO68" s="224">
        <v>2200</v>
      </c>
      <c r="BP68">
        <v>275</v>
      </c>
      <c r="BQ68">
        <v>83</v>
      </c>
      <c r="BR68">
        <v>8</v>
      </c>
      <c r="BS68">
        <v>23</v>
      </c>
      <c r="BT68">
        <v>52</v>
      </c>
      <c r="BU68">
        <v>47</v>
      </c>
      <c r="BV68">
        <v>20</v>
      </c>
      <c r="BW68" s="224">
        <v>1700</v>
      </c>
      <c r="BX68">
        <v>250</v>
      </c>
      <c r="BY68">
        <v>200</v>
      </c>
      <c r="BZ68">
        <v>325</v>
      </c>
      <c r="CA68">
        <v>18.3</v>
      </c>
      <c r="CB68">
        <v>18</v>
      </c>
      <c r="CC68">
        <v>18.399999999999999</v>
      </c>
      <c r="CD68">
        <v>75.8</v>
      </c>
      <c r="CE68">
        <v>74.7</v>
      </c>
      <c r="CF68">
        <v>7.2</v>
      </c>
      <c r="CG68">
        <v>7.3</v>
      </c>
      <c r="CH68">
        <v>57.5</v>
      </c>
      <c r="CI68">
        <v>60.7</v>
      </c>
      <c r="CJ68">
        <v>100</v>
      </c>
      <c r="CK68">
        <v>980</v>
      </c>
      <c r="CL68">
        <v>915</v>
      </c>
    </row>
    <row r="69" spans="1:90" ht="14.5">
      <c r="A69" t="s">
        <v>275</v>
      </c>
      <c r="B69" t="s">
        <v>276</v>
      </c>
      <c r="C69" t="s">
        <v>277</v>
      </c>
      <c r="D69" s="224">
        <v>1190904</v>
      </c>
      <c r="E69" s="224">
        <v>1299871</v>
      </c>
      <c r="F69" s="224">
        <v>892311</v>
      </c>
      <c r="G69" s="224">
        <v>956891</v>
      </c>
      <c r="H69" s="224">
        <v>298593</v>
      </c>
      <c r="I69" s="224">
        <v>342980</v>
      </c>
      <c r="J69" s="224">
        <v>40125</v>
      </c>
      <c r="K69" s="224">
        <v>47429</v>
      </c>
      <c r="L69">
        <v>8.6</v>
      </c>
      <c r="M69">
        <v>79.7</v>
      </c>
      <c r="N69">
        <v>83.7</v>
      </c>
      <c r="O69">
        <v>62.5</v>
      </c>
      <c r="P69">
        <v>63.9</v>
      </c>
      <c r="Q69" s="225">
        <v>4515</v>
      </c>
      <c r="R69" s="224">
        <v>4030</v>
      </c>
      <c r="S69" s="224">
        <v>281423</v>
      </c>
      <c r="T69">
        <v>17.899999999999999</v>
      </c>
      <c r="U69" s="224">
        <v>78760</v>
      </c>
      <c r="V69">
        <v>5</v>
      </c>
      <c r="W69" s="224">
        <v>135895</v>
      </c>
      <c r="X69">
        <v>4.5</v>
      </c>
      <c r="Y69">
        <v>1.8</v>
      </c>
      <c r="Z69">
        <v>2.9</v>
      </c>
      <c r="AA69" s="224">
        <v>15200</v>
      </c>
      <c r="AB69" s="224">
        <v>15770</v>
      </c>
      <c r="AC69" s="224">
        <v>20760</v>
      </c>
      <c r="AD69" s="224">
        <v>2320</v>
      </c>
      <c r="AE69" s="224">
        <v>4485</v>
      </c>
      <c r="AF69">
        <v>5</v>
      </c>
      <c r="AG69" t="s">
        <v>597</v>
      </c>
      <c r="AH69">
        <v>890</v>
      </c>
      <c r="AI69" s="224">
        <v>6075</v>
      </c>
      <c r="AJ69" t="s">
        <v>597</v>
      </c>
      <c r="AK69" t="s">
        <v>597</v>
      </c>
      <c r="AL69" s="224">
        <v>8095</v>
      </c>
      <c r="AM69" s="224">
        <v>12665</v>
      </c>
      <c r="AN69">
        <v>66.8</v>
      </c>
      <c r="AO69" s="224">
        <v>852507</v>
      </c>
      <c r="AP69" s="224">
        <v>938763</v>
      </c>
      <c r="AQ69" s="224">
        <v>798411</v>
      </c>
      <c r="AR69" s="224">
        <v>1344237</v>
      </c>
      <c r="AS69" s="224">
        <v>394782</v>
      </c>
      <c r="AT69" s="224">
        <v>348303</v>
      </c>
      <c r="AU69" s="224">
        <v>669979</v>
      </c>
      <c r="AV69" s="224">
        <v>11319</v>
      </c>
      <c r="AW69" s="224">
        <v>258475</v>
      </c>
      <c r="AX69" s="224">
        <v>40485</v>
      </c>
      <c r="AY69" s="224">
        <v>274181</v>
      </c>
      <c r="AZ69" s="224">
        <v>47007</v>
      </c>
      <c r="BA69" s="224">
        <v>655055</v>
      </c>
      <c r="BB69" s="224">
        <v>716986</v>
      </c>
      <c r="BC69" s="225">
        <v>48047.31</v>
      </c>
      <c r="BD69" s="225">
        <v>25901.54</v>
      </c>
      <c r="BE69">
        <v>424.4</v>
      </c>
      <c r="BF69" s="225">
        <v>1133.56</v>
      </c>
      <c r="BG69" s="224">
        <v>140380</v>
      </c>
      <c r="BH69">
        <v>0</v>
      </c>
      <c r="BI69" s="224">
        <v>49163</v>
      </c>
      <c r="BJ69" s="224">
        <v>58558</v>
      </c>
      <c r="BK69" s="224">
        <v>4782</v>
      </c>
      <c r="BL69" s="224">
        <v>36000</v>
      </c>
      <c r="BM69" s="224">
        <v>41000</v>
      </c>
      <c r="BN69" s="224">
        <v>2400</v>
      </c>
      <c r="BO69" s="224">
        <v>38000</v>
      </c>
      <c r="BP69" s="224">
        <v>2700</v>
      </c>
      <c r="BQ69">
        <v>76</v>
      </c>
      <c r="BR69">
        <v>5</v>
      </c>
      <c r="BS69">
        <v>29</v>
      </c>
      <c r="BT69">
        <v>37</v>
      </c>
      <c r="BU69">
        <v>43</v>
      </c>
      <c r="BV69">
        <v>61</v>
      </c>
      <c r="BW69" s="224">
        <v>30000</v>
      </c>
      <c r="BX69" s="224">
        <v>3300</v>
      </c>
      <c r="BY69" s="224">
        <v>1800</v>
      </c>
      <c r="BZ69" s="224">
        <v>5900</v>
      </c>
      <c r="CA69">
        <v>19.399999999999999</v>
      </c>
      <c r="CB69">
        <v>19.8</v>
      </c>
      <c r="CC69">
        <v>19</v>
      </c>
      <c r="CD69">
        <v>77.599999999999994</v>
      </c>
      <c r="CE69">
        <v>72.900000000000006</v>
      </c>
      <c r="CF69">
        <v>6.5</v>
      </c>
      <c r="CG69">
        <v>6.8</v>
      </c>
      <c r="CH69">
        <v>70.5</v>
      </c>
      <c r="CI69">
        <v>69.2</v>
      </c>
      <c r="CJ69">
        <v>80.599999999999994</v>
      </c>
      <c r="CK69" s="224">
        <v>5925</v>
      </c>
      <c r="CL69" s="224">
        <v>4850</v>
      </c>
    </row>
    <row r="70" spans="1:90" ht="14.5">
      <c r="A70" t="s">
        <v>278</v>
      </c>
      <c r="B70" t="s">
        <v>279</v>
      </c>
      <c r="C70" t="s">
        <v>280</v>
      </c>
      <c r="D70" s="224">
        <v>206207</v>
      </c>
      <c r="E70" s="224">
        <v>212658</v>
      </c>
      <c r="F70" s="224">
        <v>167854</v>
      </c>
      <c r="G70" s="224">
        <v>169309</v>
      </c>
      <c r="H70" s="224">
        <v>38353</v>
      </c>
      <c r="I70" s="224">
        <v>43349</v>
      </c>
      <c r="J70" s="224">
        <v>4742</v>
      </c>
      <c r="K70" s="224">
        <v>4918</v>
      </c>
      <c r="L70">
        <v>8</v>
      </c>
      <c r="M70">
        <v>75.5</v>
      </c>
      <c r="N70">
        <v>80.400000000000006</v>
      </c>
      <c r="O70">
        <v>53.1</v>
      </c>
      <c r="P70">
        <v>53.3</v>
      </c>
      <c r="Q70">
        <v>850</v>
      </c>
      <c r="R70">
        <v>740</v>
      </c>
      <c r="S70" s="224">
        <v>53395</v>
      </c>
      <c r="T70">
        <v>20</v>
      </c>
      <c r="U70" s="224">
        <v>18237</v>
      </c>
      <c r="V70">
        <v>6.8</v>
      </c>
      <c r="W70" s="224">
        <v>21241</v>
      </c>
      <c r="X70">
        <v>3.2</v>
      </c>
      <c r="Y70">
        <v>2.1</v>
      </c>
      <c r="Z70">
        <v>3.2</v>
      </c>
      <c r="AA70" s="224">
        <v>2281</v>
      </c>
      <c r="AB70" s="224">
        <v>2238</v>
      </c>
      <c r="AC70" s="224">
        <v>4555</v>
      </c>
      <c r="AD70">
        <v>440</v>
      </c>
      <c r="AE70">
        <v>930</v>
      </c>
      <c r="AF70" t="s">
        <v>597</v>
      </c>
      <c r="AG70" t="s">
        <v>597</v>
      </c>
      <c r="AH70">
        <v>120</v>
      </c>
      <c r="AI70" s="224">
        <v>1295</v>
      </c>
      <c r="AJ70" t="s">
        <v>597</v>
      </c>
      <c r="AK70" t="s">
        <v>597</v>
      </c>
      <c r="AL70" s="224">
        <v>1720</v>
      </c>
      <c r="AM70" s="224">
        <v>2835</v>
      </c>
      <c r="AN70">
        <v>66.2</v>
      </c>
      <c r="AO70" s="224">
        <v>153983</v>
      </c>
      <c r="AP70" s="224">
        <v>168757</v>
      </c>
      <c r="AQ70" s="224">
        <v>137229</v>
      </c>
      <c r="AR70" s="224">
        <v>277151</v>
      </c>
      <c r="AS70" s="224">
        <v>65004</v>
      </c>
      <c r="AT70" s="224">
        <v>71264</v>
      </c>
      <c r="AU70" s="224">
        <v>120839</v>
      </c>
      <c r="AV70" s="224">
        <v>2747</v>
      </c>
      <c r="AW70" s="224">
        <v>28843</v>
      </c>
      <c r="AX70" s="224">
        <v>8305</v>
      </c>
      <c r="AY70" s="224">
        <v>50719</v>
      </c>
      <c r="AZ70" s="224">
        <v>10675</v>
      </c>
      <c r="BA70" s="224">
        <v>119348</v>
      </c>
      <c r="BB70" s="224">
        <v>131514</v>
      </c>
      <c r="BC70" s="225">
        <v>36779.65</v>
      </c>
      <c r="BD70" s="225">
        <v>24075.13</v>
      </c>
      <c r="BE70">
        <v>400.16</v>
      </c>
      <c r="BF70" s="225">
        <v>1835.54</v>
      </c>
      <c r="BG70" s="224">
        <v>31525</v>
      </c>
      <c r="BH70">
        <v>0</v>
      </c>
      <c r="BI70" s="224">
        <v>10349</v>
      </c>
      <c r="BJ70" s="224">
        <v>37199</v>
      </c>
      <c r="BK70" s="224">
        <v>1832</v>
      </c>
      <c r="BL70" s="224">
        <v>6500</v>
      </c>
      <c r="BM70" s="224">
        <v>7100</v>
      </c>
      <c r="BN70">
        <v>200</v>
      </c>
      <c r="BO70" s="224">
        <v>6300</v>
      </c>
      <c r="BP70">
        <v>850</v>
      </c>
      <c r="BQ70">
        <v>81</v>
      </c>
      <c r="BR70">
        <v>3</v>
      </c>
      <c r="BS70">
        <v>13</v>
      </c>
      <c r="BT70">
        <v>40</v>
      </c>
      <c r="BU70">
        <v>43</v>
      </c>
      <c r="BV70">
        <v>79</v>
      </c>
      <c r="BW70" s="224">
        <v>5300</v>
      </c>
      <c r="BX70">
        <v>550</v>
      </c>
      <c r="BY70">
        <v>275</v>
      </c>
      <c r="BZ70" s="224">
        <v>1000</v>
      </c>
      <c r="CA70">
        <v>19.100000000000001</v>
      </c>
      <c r="CB70">
        <v>20.100000000000001</v>
      </c>
      <c r="CC70">
        <v>18.399999999999999</v>
      </c>
      <c r="CD70">
        <v>76.400000000000006</v>
      </c>
      <c r="CE70">
        <v>70.400000000000006</v>
      </c>
      <c r="CF70">
        <v>7.6</v>
      </c>
      <c r="CG70">
        <v>7.7</v>
      </c>
      <c r="CH70">
        <v>70.400000000000006</v>
      </c>
      <c r="CI70">
        <v>70.5</v>
      </c>
      <c r="CJ70">
        <v>74</v>
      </c>
      <c r="CK70" s="224">
        <v>1845</v>
      </c>
      <c r="CL70" s="224">
        <v>1945</v>
      </c>
    </row>
    <row r="71" spans="1:90" ht="14.5">
      <c r="A71" t="s">
        <v>281</v>
      </c>
      <c r="B71" t="s">
        <v>282</v>
      </c>
      <c r="C71" t="s">
        <v>283</v>
      </c>
      <c r="D71" s="224">
        <v>131509</v>
      </c>
      <c r="E71" s="224">
        <v>136833</v>
      </c>
      <c r="F71" s="224">
        <v>108978</v>
      </c>
      <c r="G71" s="224">
        <v>110211</v>
      </c>
      <c r="H71" s="224">
        <v>22531</v>
      </c>
      <c r="I71" s="224">
        <v>26622</v>
      </c>
      <c r="J71" s="224">
        <v>3349</v>
      </c>
      <c r="K71" s="224">
        <v>3825</v>
      </c>
      <c r="L71">
        <v>6.9</v>
      </c>
      <c r="M71">
        <v>82</v>
      </c>
      <c r="N71">
        <v>85.4</v>
      </c>
      <c r="O71">
        <v>66.900000000000006</v>
      </c>
      <c r="P71">
        <v>67</v>
      </c>
      <c r="Q71">
        <v>385</v>
      </c>
      <c r="R71">
        <v>335</v>
      </c>
      <c r="S71" s="224">
        <v>21990</v>
      </c>
      <c r="T71">
        <v>13.1</v>
      </c>
      <c r="U71" s="224">
        <v>5671</v>
      </c>
      <c r="V71">
        <v>3.4</v>
      </c>
      <c r="W71" s="224">
        <v>11511</v>
      </c>
      <c r="X71">
        <v>4</v>
      </c>
      <c r="Y71">
        <v>1.4</v>
      </c>
      <c r="Z71">
        <v>1.8</v>
      </c>
      <c r="AA71" s="224">
        <v>1355</v>
      </c>
      <c r="AB71" s="224">
        <v>1588</v>
      </c>
      <c r="AC71" s="224">
        <v>2000</v>
      </c>
      <c r="AD71">
        <v>170</v>
      </c>
      <c r="AE71">
        <v>440</v>
      </c>
      <c r="AF71" t="s">
        <v>597</v>
      </c>
      <c r="AG71" t="s">
        <v>597</v>
      </c>
      <c r="AH71">
        <v>90</v>
      </c>
      <c r="AI71">
        <v>745</v>
      </c>
      <c r="AJ71" t="s">
        <v>597</v>
      </c>
      <c r="AK71" t="s">
        <v>597</v>
      </c>
      <c r="AL71">
        <v>740</v>
      </c>
      <c r="AM71" s="224">
        <v>1260</v>
      </c>
      <c r="AN71">
        <v>67.099999999999994</v>
      </c>
      <c r="AO71" s="224">
        <v>76106</v>
      </c>
      <c r="AP71" s="224">
        <v>86394</v>
      </c>
      <c r="AQ71" s="224">
        <v>71564</v>
      </c>
      <c r="AR71" s="224">
        <v>171019</v>
      </c>
      <c r="AS71" s="224">
        <v>35667</v>
      </c>
      <c r="AT71" s="224">
        <v>27849</v>
      </c>
      <c r="AU71" s="224">
        <v>57646</v>
      </c>
      <c r="AV71">
        <v>367</v>
      </c>
      <c r="AW71" s="224">
        <v>22760</v>
      </c>
      <c r="AX71">
        <v>278</v>
      </c>
      <c r="AY71" s="224">
        <v>15837</v>
      </c>
      <c r="AZ71">
        <v>562</v>
      </c>
      <c r="BA71" s="224">
        <v>50425</v>
      </c>
      <c r="BB71" s="224">
        <v>58208</v>
      </c>
      <c r="BC71" s="225">
        <v>44190.54</v>
      </c>
      <c r="BD71" s="225">
        <v>20243.650000000001</v>
      </c>
      <c r="BE71">
        <v>326.95</v>
      </c>
      <c r="BF71" s="225">
        <v>1056.53</v>
      </c>
      <c r="BG71" s="224">
        <v>16090</v>
      </c>
      <c r="BH71">
        <v>25</v>
      </c>
      <c r="BI71" s="224">
        <v>5785</v>
      </c>
      <c r="BJ71" s="224">
        <v>5798</v>
      </c>
      <c r="BK71">
        <v>151</v>
      </c>
      <c r="BL71" s="224">
        <v>3500</v>
      </c>
      <c r="BM71" s="224">
        <v>3900</v>
      </c>
      <c r="BN71">
        <v>275</v>
      </c>
      <c r="BO71" s="224">
        <v>3800</v>
      </c>
      <c r="BP71">
        <v>150</v>
      </c>
      <c r="BQ71">
        <v>77</v>
      </c>
      <c r="BR71">
        <v>12</v>
      </c>
      <c r="BS71">
        <v>27</v>
      </c>
      <c r="BT71">
        <v>22</v>
      </c>
      <c r="BU71">
        <v>45</v>
      </c>
      <c r="BV71">
        <v>48</v>
      </c>
      <c r="BW71" s="224">
        <v>2900</v>
      </c>
      <c r="BX71">
        <v>300</v>
      </c>
      <c r="BY71">
        <v>175</v>
      </c>
      <c r="BZ71">
        <v>550</v>
      </c>
      <c r="CA71">
        <v>19</v>
      </c>
      <c r="CB71">
        <v>19.399999999999999</v>
      </c>
      <c r="CC71">
        <v>18.600000000000001</v>
      </c>
      <c r="CD71">
        <v>71</v>
      </c>
      <c r="CE71">
        <v>69.400000000000006</v>
      </c>
      <c r="CF71">
        <v>6.8</v>
      </c>
      <c r="CG71">
        <v>6.9</v>
      </c>
      <c r="CH71">
        <v>72.900000000000006</v>
      </c>
      <c r="CI71">
        <v>70.2</v>
      </c>
      <c r="CJ71">
        <v>88.9</v>
      </c>
      <c r="CK71">
        <v>365</v>
      </c>
      <c r="CL71">
        <v>480</v>
      </c>
    </row>
    <row r="72" spans="1:90" ht="14.5">
      <c r="A72" t="s">
        <v>284</v>
      </c>
      <c r="B72" t="s">
        <v>285</v>
      </c>
      <c r="C72" t="s">
        <v>286</v>
      </c>
      <c r="D72" s="224">
        <v>332771</v>
      </c>
      <c r="E72" s="224">
        <v>347722</v>
      </c>
      <c r="F72" s="224">
        <v>260401</v>
      </c>
      <c r="G72" s="224">
        <v>265249</v>
      </c>
      <c r="H72" s="224">
        <v>72370</v>
      </c>
      <c r="I72" s="224">
        <v>82473</v>
      </c>
      <c r="J72" s="224">
        <v>8677</v>
      </c>
      <c r="K72" s="224">
        <v>10464</v>
      </c>
      <c r="L72">
        <v>8.5</v>
      </c>
      <c r="M72">
        <v>78</v>
      </c>
      <c r="N72">
        <v>82</v>
      </c>
      <c r="O72">
        <v>57.8</v>
      </c>
      <c r="P72">
        <v>58</v>
      </c>
      <c r="Q72" s="225">
        <v>1265</v>
      </c>
      <c r="R72" s="224">
        <v>1135</v>
      </c>
      <c r="S72" s="224">
        <v>75591</v>
      </c>
      <c r="T72">
        <v>17.399999999999999</v>
      </c>
      <c r="U72" s="224">
        <v>24047</v>
      </c>
      <c r="V72">
        <v>5.6</v>
      </c>
      <c r="W72" s="224">
        <v>37034</v>
      </c>
      <c r="X72">
        <v>4.5</v>
      </c>
      <c r="Y72">
        <v>1.9</v>
      </c>
      <c r="Z72">
        <v>2.6</v>
      </c>
      <c r="AA72" s="224">
        <v>3415</v>
      </c>
      <c r="AB72" s="224">
        <v>3526</v>
      </c>
      <c r="AC72" s="224">
        <v>6020</v>
      </c>
      <c r="AD72" s="224">
        <v>1030</v>
      </c>
      <c r="AE72">
        <v>695</v>
      </c>
      <c r="AF72">
        <v>65</v>
      </c>
      <c r="AG72" t="s">
        <v>597</v>
      </c>
      <c r="AH72">
        <v>335</v>
      </c>
      <c r="AI72" s="224">
        <v>1805</v>
      </c>
      <c r="AJ72">
        <v>140</v>
      </c>
      <c r="AK72" t="s">
        <v>597</v>
      </c>
      <c r="AL72" s="224">
        <v>2260</v>
      </c>
      <c r="AM72" s="224">
        <v>3760</v>
      </c>
      <c r="AN72">
        <v>60.6</v>
      </c>
      <c r="AO72" s="224">
        <v>219702</v>
      </c>
      <c r="AP72" s="224">
        <v>236373</v>
      </c>
      <c r="AQ72" s="224">
        <v>202876</v>
      </c>
      <c r="AR72" s="224">
        <v>386652</v>
      </c>
      <c r="AS72" s="224">
        <v>92128</v>
      </c>
      <c r="AT72" s="224">
        <v>87328</v>
      </c>
      <c r="AU72" s="224">
        <v>164058</v>
      </c>
      <c r="AV72" s="224">
        <v>4807</v>
      </c>
      <c r="AW72" s="224">
        <v>60297</v>
      </c>
      <c r="AX72" s="224">
        <v>8486</v>
      </c>
      <c r="AY72" s="224">
        <v>54544</v>
      </c>
      <c r="AZ72" s="224">
        <v>12989</v>
      </c>
      <c r="BA72" s="224">
        <v>169035</v>
      </c>
      <c r="BB72" s="224">
        <v>177047</v>
      </c>
      <c r="BC72" s="225">
        <v>39087.61</v>
      </c>
      <c r="BD72" s="225">
        <v>23592.82</v>
      </c>
      <c r="BE72">
        <v>365.45</v>
      </c>
      <c r="BF72" s="225">
        <v>1161.76</v>
      </c>
      <c r="BG72" s="224">
        <v>33698</v>
      </c>
      <c r="BH72">
        <v>0</v>
      </c>
      <c r="BI72" s="224">
        <v>26143</v>
      </c>
      <c r="BJ72" s="224">
        <v>39913</v>
      </c>
      <c r="BK72" s="224">
        <v>7477</v>
      </c>
      <c r="BL72" s="224">
        <v>9200</v>
      </c>
      <c r="BM72" s="224">
        <v>10000</v>
      </c>
      <c r="BN72">
        <v>300</v>
      </c>
      <c r="BO72" s="224">
        <v>8800</v>
      </c>
      <c r="BP72" s="224">
        <v>1200</v>
      </c>
      <c r="BQ72">
        <v>80</v>
      </c>
      <c r="BR72">
        <v>2</v>
      </c>
      <c r="BS72">
        <v>16</v>
      </c>
      <c r="BT72">
        <v>42</v>
      </c>
      <c r="BU72">
        <v>44</v>
      </c>
      <c r="BV72">
        <v>69</v>
      </c>
      <c r="BW72" s="224">
        <v>7400</v>
      </c>
      <c r="BX72">
        <v>850</v>
      </c>
      <c r="BY72">
        <v>400</v>
      </c>
      <c r="BZ72" s="224">
        <v>1400</v>
      </c>
      <c r="CA72">
        <v>18.600000000000001</v>
      </c>
      <c r="CB72">
        <v>19.399999999999999</v>
      </c>
      <c r="CC72">
        <v>18.100000000000001</v>
      </c>
      <c r="CD72">
        <v>72.3</v>
      </c>
      <c r="CE72">
        <v>68.900000000000006</v>
      </c>
      <c r="CF72">
        <v>7.2</v>
      </c>
      <c r="CG72">
        <v>7.7</v>
      </c>
      <c r="CH72">
        <v>67</v>
      </c>
      <c r="CI72">
        <v>62.6</v>
      </c>
      <c r="CJ72">
        <v>76.7</v>
      </c>
      <c r="CK72" s="224">
        <v>3370</v>
      </c>
      <c r="CL72" s="224">
        <v>3205</v>
      </c>
    </row>
    <row r="73" spans="1:90" ht="14.5">
      <c r="A73" t="s">
        <v>287</v>
      </c>
      <c r="B73" t="s">
        <v>288</v>
      </c>
      <c r="C73" t="s">
        <v>289</v>
      </c>
      <c r="D73" s="224">
        <v>115111</v>
      </c>
      <c r="E73" s="224">
        <v>127398</v>
      </c>
      <c r="F73" s="224">
        <v>90676</v>
      </c>
      <c r="G73" s="224">
        <v>98414</v>
      </c>
      <c r="H73" s="224">
        <v>24435</v>
      </c>
      <c r="I73" s="224">
        <v>28984</v>
      </c>
      <c r="J73" s="224">
        <v>2791</v>
      </c>
      <c r="K73" s="224">
        <v>3253</v>
      </c>
      <c r="L73">
        <v>10.6</v>
      </c>
      <c r="M73">
        <v>77.2</v>
      </c>
      <c r="N73">
        <v>80.3</v>
      </c>
      <c r="O73">
        <v>54</v>
      </c>
      <c r="P73">
        <v>53.7</v>
      </c>
      <c r="Q73">
        <v>730</v>
      </c>
      <c r="R73">
        <v>625</v>
      </c>
      <c r="S73" s="224">
        <v>34990</v>
      </c>
      <c r="T73">
        <v>22.6</v>
      </c>
      <c r="U73" s="224">
        <v>13310</v>
      </c>
      <c r="V73">
        <v>8.6</v>
      </c>
      <c r="W73" s="224">
        <v>16452</v>
      </c>
      <c r="X73">
        <v>4.3</v>
      </c>
      <c r="Y73">
        <v>2.9</v>
      </c>
      <c r="Z73">
        <v>4.0999999999999996</v>
      </c>
      <c r="AA73" s="224">
        <v>1038</v>
      </c>
      <c r="AB73" s="224">
        <v>1051</v>
      </c>
      <c r="AC73" s="224">
        <v>3700</v>
      </c>
      <c r="AD73">
        <v>610</v>
      </c>
      <c r="AE73">
        <v>605</v>
      </c>
      <c r="AF73">
        <v>35</v>
      </c>
      <c r="AG73" t="s">
        <v>597</v>
      </c>
      <c r="AH73">
        <v>245</v>
      </c>
      <c r="AI73" s="224">
        <v>1315</v>
      </c>
      <c r="AJ73">
        <v>15</v>
      </c>
      <c r="AK73" t="s">
        <v>597</v>
      </c>
      <c r="AL73" s="224">
        <v>1350</v>
      </c>
      <c r="AM73" s="224">
        <v>2350</v>
      </c>
      <c r="AN73">
        <v>65.8</v>
      </c>
      <c r="AO73" s="224">
        <v>118976</v>
      </c>
      <c r="AP73" s="224">
        <v>126795</v>
      </c>
      <c r="AQ73" s="224">
        <v>104985</v>
      </c>
      <c r="AR73" s="224">
        <v>234013</v>
      </c>
      <c r="AS73" s="224">
        <v>56328</v>
      </c>
      <c r="AT73" s="224">
        <v>43501</v>
      </c>
      <c r="AU73" s="224">
        <v>92225</v>
      </c>
      <c r="AV73">
        <v>613</v>
      </c>
      <c r="AW73" s="224">
        <v>38859</v>
      </c>
      <c r="AX73" s="224">
        <v>3568</v>
      </c>
      <c r="AY73" s="224">
        <v>28084</v>
      </c>
      <c r="AZ73" s="224">
        <v>4546</v>
      </c>
      <c r="BA73" s="224">
        <v>85212</v>
      </c>
      <c r="BB73" s="224">
        <v>96771</v>
      </c>
      <c r="BC73" s="225">
        <v>38828.15</v>
      </c>
      <c r="BD73" s="225">
        <v>18873.62</v>
      </c>
      <c r="BE73">
        <v>578.59</v>
      </c>
      <c r="BF73" s="225">
        <v>1623.96</v>
      </c>
      <c r="BG73" s="224">
        <v>22196</v>
      </c>
      <c r="BH73">
        <v>0</v>
      </c>
      <c r="BI73" s="224">
        <v>16217</v>
      </c>
      <c r="BJ73" s="224">
        <v>16447</v>
      </c>
      <c r="BK73">
        <v>960</v>
      </c>
      <c r="BL73" s="224">
        <v>3800</v>
      </c>
      <c r="BM73" s="224">
        <v>3900</v>
      </c>
      <c r="BN73">
        <v>350</v>
      </c>
      <c r="BO73" s="224">
        <v>3500</v>
      </c>
      <c r="BP73">
        <v>425</v>
      </c>
      <c r="BQ73">
        <v>84</v>
      </c>
      <c r="BR73">
        <v>1</v>
      </c>
      <c r="BS73">
        <v>5</v>
      </c>
      <c r="BT73">
        <v>45</v>
      </c>
      <c r="BU73">
        <v>45</v>
      </c>
      <c r="BV73">
        <v>89</v>
      </c>
      <c r="BW73" s="224">
        <v>2900</v>
      </c>
      <c r="BX73">
        <v>375</v>
      </c>
      <c r="BY73">
        <v>150</v>
      </c>
      <c r="BZ73">
        <v>475</v>
      </c>
      <c r="CA73">
        <v>19.399999999999999</v>
      </c>
      <c r="CB73">
        <v>19.8</v>
      </c>
      <c r="CC73">
        <v>19.100000000000001</v>
      </c>
      <c r="CD73">
        <v>81</v>
      </c>
      <c r="CE73">
        <v>78.8</v>
      </c>
      <c r="CF73">
        <v>7.1</v>
      </c>
      <c r="CG73">
        <v>7.6</v>
      </c>
      <c r="CH73">
        <v>73.2</v>
      </c>
      <c r="CI73">
        <v>71.3</v>
      </c>
      <c r="CJ73">
        <v>84</v>
      </c>
      <c r="CK73" s="224">
        <v>2605</v>
      </c>
      <c r="CL73" s="224">
        <v>2640</v>
      </c>
    </row>
    <row r="74" spans="1:90" ht="14.5">
      <c r="A74" t="s">
        <v>290</v>
      </c>
      <c r="B74" t="s">
        <v>291</v>
      </c>
      <c r="C74" t="s">
        <v>292</v>
      </c>
      <c r="D74" s="224">
        <v>262499</v>
      </c>
      <c r="E74" s="224">
        <v>265560</v>
      </c>
      <c r="F74" s="224">
        <v>237726</v>
      </c>
      <c r="G74" s="224">
        <v>234241</v>
      </c>
      <c r="H74" s="224">
        <v>24773</v>
      </c>
      <c r="I74" s="224">
        <v>31319</v>
      </c>
      <c r="J74" s="224">
        <v>3130</v>
      </c>
      <c r="K74" s="224">
        <v>3486</v>
      </c>
      <c r="L74">
        <v>5.9</v>
      </c>
      <c r="M74">
        <v>78.900000000000006</v>
      </c>
      <c r="N74">
        <v>83.8</v>
      </c>
      <c r="O74">
        <v>63.7</v>
      </c>
      <c r="P74">
        <v>64.599999999999994</v>
      </c>
      <c r="Q74">
        <v>865</v>
      </c>
      <c r="R74">
        <v>775</v>
      </c>
      <c r="S74" s="224">
        <v>42017</v>
      </c>
      <c r="T74">
        <v>13.2</v>
      </c>
      <c r="U74" s="224">
        <v>12668</v>
      </c>
      <c r="V74">
        <v>4</v>
      </c>
      <c r="W74" s="224">
        <v>18839</v>
      </c>
      <c r="X74">
        <v>3.3</v>
      </c>
      <c r="Y74">
        <v>1.5</v>
      </c>
      <c r="Z74">
        <v>1.5</v>
      </c>
      <c r="AA74">
        <v>905</v>
      </c>
      <c r="AB74">
        <v>983</v>
      </c>
      <c r="AC74" s="224">
        <v>6175</v>
      </c>
      <c r="AD74">
        <v>450</v>
      </c>
      <c r="AE74" s="224">
        <v>1650</v>
      </c>
      <c r="AF74" t="s">
        <v>597</v>
      </c>
      <c r="AG74" t="s">
        <v>597</v>
      </c>
      <c r="AH74">
        <v>185</v>
      </c>
      <c r="AI74" s="224">
        <v>2545</v>
      </c>
      <c r="AJ74" t="s">
        <v>597</v>
      </c>
      <c r="AK74" t="s">
        <v>597</v>
      </c>
      <c r="AL74" s="224">
        <v>2520</v>
      </c>
      <c r="AM74" s="224">
        <v>3655</v>
      </c>
      <c r="AN74">
        <v>56.7</v>
      </c>
      <c r="AO74" s="224">
        <v>145947</v>
      </c>
      <c r="AP74" s="224">
        <v>163902</v>
      </c>
      <c r="AQ74" s="224">
        <v>145907</v>
      </c>
      <c r="AR74" s="224">
        <v>373735</v>
      </c>
      <c r="AS74" s="224">
        <v>71832</v>
      </c>
      <c r="AT74" s="224">
        <v>59788</v>
      </c>
      <c r="AU74" s="224">
        <v>128667</v>
      </c>
      <c r="AV74" s="224">
        <v>1378</v>
      </c>
      <c r="AW74" s="224">
        <v>54892</v>
      </c>
      <c r="AX74" s="224">
        <v>3471</v>
      </c>
      <c r="AY74" s="224">
        <v>35943</v>
      </c>
      <c r="AZ74" s="224">
        <v>4167</v>
      </c>
      <c r="BA74" s="224">
        <v>131036</v>
      </c>
      <c r="BB74" s="224">
        <v>132834</v>
      </c>
      <c r="BC74" s="225">
        <v>29417.86</v>
      </c>
      <c r="BD74" s="225">
        <v>16060.47</v>
      </c>
      <c r="BE74">
        <v>312.54000000000002</v>
      </c>
      <c r="BF74" s="225">
        <v>2019.83</v>
      </c>
      <c r="BG74" s="224">
        <v>21221</v>
      </c>
      <c r="BH74" s="224">
        <v>4444</v>
      </c>
      <c r="BI74" s="224">
        <v>18055</v>
      </c>
      <c r="BJ74" s="224">
        <v>41909</v>
      </c>
      <c r="BK74">
        <v>682</v>
      </c>
      <c r="BL74" s="224">
        <v>6600</v>
      </c>
      <c r="BM74" s="224">
        <v>7100</v>
      </c>
      <c r="BN74">
        <v>175</v>
      </c>
      <c r="BO74" s="224">
        <v>6600</v>
      </c>
      <c r="BP74">
        <v>475</v>
      </c>
      <c r="BQ74">
        <v>75</v>
      </c>
      <c r="BR74">
        <v>9</v>
      </c>
      <c r="BS74">
        <v>41</v>
      </c>
      <c r="BT74">
        <v>32</v>
      </c>
      <c r="BU74">
        <v>46</v>
      </c>
      <c r="BV74">
        <v>14</v>
      </c>
      <c r="BW74" s="224">
        <v>5300</v>
      </c>
      <c r="BX74">
        <v>650</v>
      </c>
      <c r="BY74">
        <v>325</v>
      </c>
      <c r="BZ74">
        <v>850</v>
      </c>
      <c r="CA74">
        <v>18.600000000000001</v>
      </c>
      <c r="CB74">
        <v>19.3</v>
      </c>
      <c r="CC74">
        <v>18</v>
      </c>
      <c r="CD74">
        <v>74.099999999999994</v>
      </c>
      <c r="CE74">
        <v>69.900000000000006</v>
      </c>
      <c r="CF74">
        <v>7.4</v>
      </c>
      <c r="CG74">
        <v>7.2</v>
      </c>
      <c r="CH74">
        <v>70.2</v>
      </c>
      <c r="CI74">
        <v>67.8</v>
      </c>
      <c r="CJ74">
        <v>77.099999999999994</v>
      </c>
      <c r="CK74" s="224">
        <v>1035</v>
      </c>
      <c r="CL74" s="224">
        <v>1225</v>
      </c>
    </row>
    <row r="75" spans="1:90" ht="14.5">
      <c r="A75" t="s">
        <v>293</v>
      </c>
      <c r="B75" t="s">
        <v>294</v>
      </c>
      <c r="C75" t="s">
        <v>295</v>
      </c>
      <c r="D75" s="224">
        <v>944417</v>
      </c>
      <c r="E75" s="224">
        <v>1048053</v>
      </c>
      <c r="F75" s="224">
        <v>707712</v>
      </c>
      <c r="G75" s="224">
        <v>768005</v>
      </c>
      <c r="H75" s="224">
        <v>236705</v>
      </c>
      <c r="I75" s="224">
        <v>280048</v>
      </c>
      <c r="J75" s="224">
        <v>29590</v>
      </c>
      <c r="K75" s="224">
        <v>35706</v>
      </c>
      <c r="L75">
        <v>9.1</v>
      </c>
      <c r="M75">
        <v>78.400000000000006</v>
      </c>
      <c r="N75">
        <v>82.2</v>
      </c>
      <c r="O75">
        <v>59.3</v>
      </c>
      <c r="P75">
        <v>60.3</v>
      </c>
      <c r="Q75" s="225">
        <v>4060</v>
      </c>
      <c r="R75" s="224">
        <v>3590</v>
      </c>
      <c r="S75" s="224">
        <v>238983</v>
      </c>
      <c r="T75">
        <v>19.3</v>
      </c>
      <c r="U75" s="224">
        <v>71545</v>
      </c>
      <c r="V75">
        <v>5.8</v>
      </c>
      <c r="W75" s="224">
        <v>112737</v>
      </c>
      <c r="X75">
        <v>4.7</v>
      </c>
      <c r="Y75">
        <v>2</v>
      </c>
      <c r="Z75">
        <v>2.9</v>
      </c>
      <c r="AA75" s="224">
        <v>13090</v>
      </c>
      <c r="AB75" s="224">
        <v>13544</v>
      </c>
      <c r="AC75" s="224">
        <v>23145</v>
      </c>
      <c r="AD75" s="224">
        <v>3145</v>
      </c>
      <c r="AE75" s="224">
        <v>3415</v>
      </c>
      <c r="AF75" s="224">
        <v>1015</v>
      </c>
      <c r="AG75" t="s">
        <v>597</v>
      </c>
      <c r="AH75" s="224">
        <v>1240</v>
      </c>
      <c r="AI75" s="224">
        <v>3905</v>
      </c>
      <c r="AJ75" s="224">
        <v>3240</v>
      </c>
      <c r="AK75" t="s">
        <v>597</v>
      </c>
      <c r="AL75" s="224">
        <v>8390</v>
      </c>
      <c r="AM75" s="224">
        <v>14755</v>
      </c>
      <c r="AN75">
        <v>70.400000000000006</v>
      </c>
      <c r="AO75" s="224">
        <v>720351</v>
      </c>
      <c r="AP75" s="224">
        <v>764196</v>
      </c>
      <c r="AQ75" s="224">
        <v>617078</v>
      </c>
      <c r="AR75" s="224">
        <v>988699</v>
      </c>
      <c r="AS75" s="224">
        <v>265814</v>
      </c>
      <c r="AT75" s="224">
        <v>341281</v>
      </c>
      <c r="AU75" s="224">
        <v>580792</v>
      </c>
      <c r="AV75" s="224">
        <v>5947</v>
      </c>
      <c r="AW75" s="224">
        <v>165623</v>
      </c>
      <c r="AX75" s="224">
        <v>20494</v>
      </c>
      <c r="AY75" s="224">
        <v>195121</v>
      </c>
      <c r="AZ75" s="224">
        <v>31826</v>
      </c>
      <c r="BA75" s="224">
        <v>550992</v>
      </c>
      <c r="BB75" s="224">
        <v>612618</v>
      </c>
      <c r="BC75" s="225">
        <v>31035.759999999998</v>
      </c>
      <c r="BD75" s="225">
        <v>23871.77</v>
      </c>
      <c r="BE75">
        <v>353.85</v>
      </c>
      <c r="BF75" s="225">
        <v>1291.83</v>
      </c>
      <c r="BG75" s="224">
        <v>147121</v>
      </c>
      <c r="BH75">
        <v>0</v>
      </c>
      <c r="BI75" s="224">
        <v>38825</v>
      </c>
      <c r="BJ75" s="224">
        <v>101768</v>
      </c>
      <c r="BK75" s="224">
        <v>5221</v>
      </c>
      <c r="BL75" s="224">
        <v>33000</v>
      </c>
      <c r="BM75" s="224">
        <v>37000</v>
      </c>
      <c r="BN75" s="224">
        <v>2500</v>
      </c>
      <c r="BO75" s="224">
        <v>32000</v>
      </c>
      <c r="BP75" s="224">
        <v>4400</v>
      </c>
      <c r="BQ75">
        <v>76</v>
      </c>
      <c r="BR75">
        <v>3</v>
      </c>
      <c r="BS75">
        <v>15</v>
      </c>
      <c r="BT75">
        <v>43</v>
      </c>
      <c r="BU75">
        <v>43</v>
      </c>
      <c r="BV75">
        <v>76</v>
      </c>
      <c r="BW75" s="224">
        <v>28000</v>
      </c>
      <c r="BX75" s="224">
        <v>2800</v>
      </c>
      <c r="BY75" s="224">
        <v>1400</v>
      </c>
      <c r="BZ75" s="224">
        <v>4500</v>
      </c>
      <c r="CA75">
        <v>18.899999999999999</v>
      </c>
      <c r="CB75">
        <v>19.399999999999999</v>
      </c>
      <c r="CC75">
        <v>18.5</v>
      </c>
      <c r="CD75">
        <v>78.599999999999994</v>
      </c>
      <c r="CE75">
        <v>76.900000000000006</v>
      </c>
      <c r="CF75">
        <v>7.6</v>
      </c>
      <c r="CG75">
        <v>7.7</v>
      </c>
      <c r="CH75">
        <v>64.3</v>
      </c>
      <c r="CI75">
        <v>65.3</v>
      </c>
      <c r="CJ75">
        <v>81.3</v>
      </c>
      <c r="CK75" s="224">
        <v>15110</v>
      </c>
      <c r="CL75" s="224">
        <v>13975</v>
      </c>
    </row>
    <row r="76" spans="1:90" ht="14.5">
      <c r="A76" t="s">
        <v>296</v>
      </c>
      <c r="B76" t="s">
        <v>297</v>
      </c>
      <c r="C76" t="s">
        <v>298</v>
      </c>
      <c r="D76" s="224">
        <v>615548</v>
      </c>
      <c r="E76" s="224">
        <v>668732</v>
      </c>
      <c r="F76" s="224">
        <v>495634</v>
      </c>
      <c r="G76" s="224">
        <v>534922</v>
      </c>
      <c r="H76" s="224">
        <v>119914</v>
      </c>
      <c r="I76" s="224">
        <v>133810</v>
      </c>
      <c r="J76" s="224">
        <v>15634</v>
      </c>
      <c r="K76" s="224">
        <v>18343</v>
      </c>
      <c r="L76">
        <v>7.6</v>
      </c>
      <c r="M76">
        <v>78.8</v>
      </c>
      <c r="N76">
        <v>82.6</v>
      </c>
      <c r="O76">
        <v>60.4</v>
      </c>
      <c r="P76">
        <v>60.9</v>
      </c>
      <c r="Q76" s="225">
        <v>2170</v>
      </c>
      <c r="R76" s="224">
        <v>1880</v>
      </c>
      <c r="S76" s="224">
        <v>135681</v>
      </c>
      <c r="T76">
        <v>16.7</v>
      </c>
      <c r="U76" s="224">
        <v>40737</v>
      </c>
      <c r="V76">
        <v>5</v>
      </c>
      <c r="W76" s="224">
        <v>61490</v>
      </c>
      <c r="X76">
        <v>4</v>
      </c>
      <c r="Y76">
        <v>1.7</v>
      </c>
      <c r="Z76">
        <v>2.4</v>
      </c>
      <c r="AA76" s="224">
        <v>5689</v>
      </c>
      <c r="AB76" s="224">
        <v>6051</v>
      </c>
      <c r="AC76" s="224">
        <v>9775</v>
      </c>
      <c r="AD76">
        <v>900</v>
      </c>
      <c r="AE76" s="224">
        <v>2545</v>
      </c>
      <c r="AF76">
        <v>70</v>
      </c>
      <c r="AG76" t="s">
        <v>597</v>
      </c>
      <c r="AH76">
        <v>255</v>
      </c>
      <c r="AI76" s="224">
        <v>2720</v>
      </c>
      <c r="AJ76">
        <v>20</v>
      </c>
      <c r="AK76" t="s">
        <v>597</v>
      </c>
      <c r="AL76" s="224">
        <v>4155</v>
      </c>
      <c r="AM76" s="224">
        <v>5620</v>
      </c>
      <c r="AN76">
        <v>65.5</v>
      </c>
      <c r="AO76" s="224">
        <v>382087</v>
      </c>
      <c r="AP76" s="224">
        <v>404336</v>
      </c>
      <c r="AQ76" s="224">
        <v>343791</v>
      </c>
      <c r="AR76" s="224">
        <v>690392</v>
      </c>
      <c r="AS76" s="224">
        <v>180263</v>
      </c>
      <c r="AT76" s="224">
        <v>152335</v>
      </c>
      <c r="AU76" s="224">
        <v>316257</v>
      </c>
      <c r="AV76" s="224">
        <v>4525</v>
      </c>
      <c r="AW76" s="224">
        <v>116106</v>
      </c>
      <c r="AX76" s="224">
        <v>16506</v>
      </c>
      <c r="AY76" s="224">
        <v>86600</v>
      </c>
      <c r="AZ76" s="224">
        <v>21869</v>
      </c>
      <c r="BA76" s="224">
        <v>307499</v>
      </c>
      <c r="BB76" s="224">
        <v>338126</v>
      </c>
      <c r="BC76" s="225">
        <v>42538.87</v>
      </c>
      <c r="BD76" s="225">
        <v>28714.77</v>
      </c>
      <c r="BE76">
        <v>345.45</v>
      </c>
      <c r="BF76" s="225">
        <v>1261.8</v>
      </c>
      <c r="BG76" s="224">
        <v>62145</v>
      </c>
      <c r="BH76">
        <v>0</v>
      </c>
      <c r="BI76" s="224">
        <v>35942</v>
      </c>
      <c r="BJ76" s="224">
        <v>38157</v>
      </c>
      <c r="BK76" s="224">
        <v>18866</v>
      </c>
      <c r="BL76" s="224">
        <v>18500</v>
      </c>
      <c r="BM76" s="224">
        <v>20000</v>
      </c>
      <c r="BN76" s="224">
        <v>1300</v>
      </c>
      <c r="BO76" s="224">
        <v>18500</v>
      </c>
      <c r="BP76" s="224">
        <v>1600</v>
      </c>
      <c r="BQ76">
        <v>79</v>
      </c>
      <c r="BR76">
        <v>5</v>
      </c>
      <c r="BS76">
        <v>22</v>
      </c>
      <c r="BT76">
        <v>39</v>
      </c>
      <c r="BU76">
        <v>43</v>
      </c>
      <c r="BV76">
        <v>67</v>
      </c>
      <c r="BW76" s="224">
        <v>15000</v>
      </c>
      <c r="BX76" s="224">
        <v>1900</v>
      </c>
      <c r="BY76">
        <v>850</v>
      </c>
      <c r="BZ76" s="224">
        <v>2600</v>
      </c>
      <c r="CA76">
        <v>19.5</v>
      </c>
      <c r="CB76">
        <v>19.399999999999999</v>
      </c>
      <c r="CC76">
        <v>19.5</v>
      </c>
      <c r="CD76">
        <v>78.2</v>
      </c>
      <c r="CE76">
        <v>76</v>
      </c>
      <c r="CF76">
        <v>7.1</v>
      </c>
      <c r="CG76">
        <v>7.3</v>
      </c>
      <c r="CH76">
        <v>73.8</v>
      </c>
      <c r="CI76">
        <v>76.900000000000006</v>
      </c>
      <c r="CJ76">
        <v>74.5</v>
      </c>
      <c r="CK76" s="224">
        <v>9465</v>
      </c>
      <c r="CL76" s="224">
        <v>14215</v>
      </c>
    </row>
    <row r="77" spans="1:90" ht="14.5">
      <c r="A77" t="s">
        <v>299</v>
      </c>
      <c r="B77" t="s">
        <v>300</v>
      </c>
      <c r="C77" t="s">
        <v>301</v>
      </c>
      <c r="D77" s="224">
        <v>266068</v>
      </c>
      <c r="E77" s="224">
        <v>296470</v>
      </c>
      <c r="F77" s="224">
        <v>226206</v>
      </c>
      <c r="G77" s="224">
        <v>248751</v>
      </c>
      <c r="H77" s="224">
        <v>39862</v>
      </c>
      <c r="I77" s="224">
        <v>47719</v>
      </c>
      <c r="J77" s="224">
        <v>5644</v>
      </c>
      <c r="K77" s="224">
        <v>5848</v>
      </c>
      <c r="L77">
        <v>7.2</v>
      </c>
      <c r="M77">
        <v>77</v>
      </c>
      <c r="N77">
        <v>81.3</v>
      </c>
      <c r="O77">
        <v>57.8</v>
      </c>
      <c r="P77">
        <v>57.9</v>
      </c>
      <c r="Q77" s="225">
        <v>1005</v>
      </c>
      <c r="R77">
        <v>850</v>
      </c>
      <c r="S77" s="224">
        <v>57148</v>
      </c>
      <c r="T77">
        <v>15.5</v>
      </c>
      <c r="U77" s="224">
        <v>19271</v>
      </c>
      <c r="V77">
        <v>5.2</v>
      </c>
      <c r="W77" s="224">
        <v>26527</v>
      </c>
      <c r="X77">
        <v>3.2</v>
      </c>
      <c r="Y77">
        <v>2</v>
      </c>
      <c r="Z77">
        <v>2.5</v>
      </c>
      <c r="AA77" s="224">
        <v>2813</v>
      </c>
      <c r="AB77" s="224">
        <v>2854</v>
      </c>
      <c r="AC77" s="224">
        <v>6625</v>
      </c>
      <c r="AD77" s="224">
        <v>1270</v>
      </c>
      <c r="AE77">
        <v>955</v>
      </c>
      <c r="AF77" t="s">
        <v>597</v>
      </c>
      <c r="AG77" t="s">
        <v>597</v>
      </c>
      <c r="AH77">
        <v>670</v>
      </c>
      <c r="AI77" s="224">
        <v>2155</v>
      </c>
      <c r="AJ77" t="s">
        <v>597</v>
      </c>
      <c r="AK77" t="s">
        <v>597</v>
      </c>
      <c r="AL77" s="224">
        <v>2660</v>
      </c>
      <c r="AM77" s="224">
        <v>3965</v>
      </c>
      <c r="AN77">
        <v>71.7</v>
      </c>
      <c r="AO77" s="224">
        <v>214746</v>
      </c>
      <c r="AP77" s="224">
        <v>239643</v>
      </c>
      <c r="AQ77" s="224">
        <v>210485</v>
      </c>
      <c r="AR77" s="224">
        <v>365195</v>
      </c>
      <c r="AS77" s="224">
        <v>100006</v>
      </c>
      <c r="AT77" s="224">
        <v>85282</v>
      </c>
      <c r="AU77" s="224">
        <v>169737</v>
      </c>
      <c r="AV77" s="224">
        <v>2445</v>
      </c>
      <c r="AW77" s="224">
        <v>53899</v>
      </c>
      <c r="AX77" s="224">
        <v>10857</v>
      </c>
      <c r="AY77" s="224">
        <v>56230</v>
      </c>
      <c r="AZ77" s="224">
        <v>11318</v>
      </c>
      <c r="BA77" s="224">
        <v>161515</v>
      </c>
      <c r="BB77" s="224">
        <v>181055</v>
      </c>
      <c r="BC77" s="225">
        <v>35420.300000000003</v>
      </c>
      <c r="BD77" s="225">
        <v>21900.880000000001</v>
      </c>
      <c r="BE77">
        <v>411.86</v>
      </c>
      <c r="BF77" s="225">
        <v>2014.69</v>
      </c>
      <c r="BG77" s="224">
        <v>29158</v>
      </c>
      <c r="BH77" s="224">
        <v>6033</v>
      </c>
      <c r="BI77" s="224">
        <v>22985</v>
      </c>
      <c r="BJ77" s="224">
        <v>48710</v>
      </c>
      <c r="BK77">
        <v>132</v>
      </c>
      <c r="BL77" s="224">
        <v>10500</v>
      </c>
      <c r="BM77" s="224">
        <v>12000</v>
      </c>
      <c r="BN77">
        <v>850</v>
      </c>
      <c r="BO77" s="224">
        <v>11500</v>
      </c>
      <c r="BP77">
        <v>700</v>
      </c>
      <c r="BQ77">
        <v>75</v>
      </c>
      <c r="BR77">
        <v>6</v>
      </c>
      <c r="BS77">
        <v>41</v>
      </c>
      <c r="BT77">
        <v>39</v>
      </c>
      <c r="BU77">
        <v>42</v>
      </c>
      <c r="BV77">
        <v>30</v>
      </c>
      <c r="BW77" s="224">
        <v>9600</v>
      </c>
      <c r="BX77">
        <v>950</v>
      </c>
      <c r="BY77">
        <v>300</v>
      </c>
      <c r="BZ77" s="224">
        <v>1200</v>
      </c>
      <c r="CA77">
        <v>18.600000000000001</v>
      </c>
      <c r="CB77">
        <v>18.8</v>
      </c>
      <c r="CC77">
        <v>18.399999999999999</v>
      </c>
      <c r="CD77">
        <v>74.8</v>
      </c>
      <c r="CE77">
        <v>72.7</v>
      </c>
      <c r="CF77">
        <v>7</v>
      </c>
      <c r="CG77">
        <v>7.3</v>
      </c>
      <c r="CH77">
        <v>64.3</v>
      </c>
      <c r="CI77">
        <v>68.099999999999994</v>
      </c>
      <c r="CJ77">
        <v>75</v>
      </c>
      <c r="CK77">
        <v>695</v>
      </c>
      <c r="CL77">
        <v>795</v>
      </c>
    </row>
    <row r="78" spans="1:90" ht="14.5">
      <c r="A78" t="s">
        <v>302</v>
      </c>
      <c r="B78" t="s">
        <v>303</v>
      </c>
      <c r="C78" t="s">
        <v>304</v>
      </c>
      <c r="D78" s="224">
        <v>536545</v>
      </c>
      <c r="E78" s="224">
        <v>605508</v>
      </c>
      <c r="F78" s="224">
        <v>403159</v>
      </c>
      <c r="G78" s="224">
        <v>444659</v>
      </c>
      <c r="H78" s="224">
        <v>133386</v>
      </c>
      <c r="I78" s="224">
        <v>160849</v>
      </c>
      <c r="J78" s="224">
        <v>16900</v>
      </c>
      <c r="K78" s="224">
        <v>20731</v>
      </c>
      <c r="L78">
        <v>8.6</v>
      </c>
      <c r="M78">
        <v>80.5</v>
      </c>
      <c r="N78">
        <v>84</v>
      </c>
      <c r="O78">
        <v>61.5</v>
      </c>
      <c r="P78">
        <v>61.4</v>
      </c>
      <c r="Q78" s="225">
        <v>1605</v>
      </c>
      <c r="R78" s="224">
        <v>1415</v>
      </c>
      <c r="S78" s="224">
        <v>118062</v>
      </c>
      <c r="T78">
        <v>16.600000000000001</v>
      </c>
      <c r="U78" s="224">
        <v>30921</v>
      </c>
      <c r="V78">
        <v>4.3</v>
      </c>
      <c r="W78" s="224">
        <v>61306</v>
      </c>
      <c r="X78">
        <v>4.9000000000000004</v>
      </c>
      <c r="Y78">
        <v>1.6</v>
      </c>
      <c r="Z78">
        <v>2.5</v>
      </c>
      <c r="AA78" s="224">
        <v>5129</v>
      </c>
      <c r="AB78" s="224">
        <v>5328</v>
      </c>
      <c r="AC78" s="224">
        <v>10980</v>
      </c>
      <c r="AD78" s="224">
        <v>1390</v>
      </c>
      <c r="AE78" s="224">
        <v>1075</v>
      </c>
      <c r="AF78">
        <v>325</v>
      </c>
      <c r="AG78" t="s">
        <v>597</v>
      </c>
      <c r="AH78">
        <v>605</v>
      </c>
      <c r="AI78" s="224">
        <v>2005</v>
      </c>
      <c r="AJ78" s="224">
        <v>2600</v>
      </c>
      <c r="AK78" t="s">
        <v>597</v>
      </c>
      <c r="AL78" s="224">
        <v>3110</v>
      </c>
      <c r="AM78" s="224">
        <v>7870</v>
      </c>
      <c r="AN78">
        <v>62.8</v>
      </c>
      <c r="AO78" s="224">
        <v>299250</v>
      </c>
      <c r="AP78" s="224">
        <v>329797</v>
      </c>
      <c r="AQ78" s="224">
        <v>270777</v>
      </c>
      <c r="AR78" s="224">
        <v>511913</v>
      </c>
      <c r="AS78" s="224">
        <v>114250</v>
      </c>
      <c r="AT78" s="224">
        <v>129186</v>
      </c>
      <c r="AU78" s="224">
        <v>219309</v>
      </c>
      <c r="AV78" s="224">
        <v>5111</v>
      </c>
      <c r="AW78" s="224">
        <v>73470</v>
      </c>
      <c r="AX78" s="224">
        <v>9323</v>
      </c>
      <c r="AY78" s="224">
        <v>90804</v>
      </c>
      <c r="AZ78" s="224">
        <v>10306</v>
      </c>
      <c r="BA78" s="224">
        <v>216842</v>
      </c>
      <c r="BB78" s="224">
        <v>229615</v>
      </c>
      <c r="BC78" s="225">
        <v>35016.400000000001</v>
      </c>
      <c r="BD78" s="225">
        <v>15338.5</v>
      </c>
      <c r="BE78">
        <v>268.43</v>
      </c>
      <c r="BF78">
        <v>861.11</v>
      </c>
      <c r="BG78" s="224">
        <v>59020</v>
      </c>
      <c r="BH78">
        <v>0</v>
      </c>
      <c r="BI78">
        <v>0</v>
      </c>
      <c r="BJ78" s="224">
        <v>18764</v>
      </c>
      <c r="BK78">
        <v>817</v>
      </c>
      <c r="BL78" s="224">
        <v>15000</v>
      </c>
      <c r="BM78" s="224">
        <v>16500</v>
      </c>
      <c r="BN78">
        <v>900</v>
      </c>
      <c r="BO78" s="224">
        <v>15000</v>
      </c>
      <c r="BP78" s="224">
        <v>1200</v>
      </c>
      <c r="BQ78">
        <v>80</v>
      </c>
      <c r="BR78">
        <v>4</v>
      </c>
      <c r="BS78">
        <v>24</v>
      </c>
      <c r="BT78">
        <v>40</v>
      </c>
      <c r="BU78">
        <v>42</v>
      </c>
      <c r="BV78">
        <v>66</v>
      </c>
      <c r="BW78" s="224">
        <v>12500</v>
      </c>
      <c r="BX78" s="224">
        <v>1400</v>
      </c>
      <c r="BY78">
        <v>425</v>
      </c>
      <c r="BZ78" s="224">
        <v>2000</v>
      </c>
      <c r="CA78">
        <v>18.600000000000001</v>
      </c>
      <c r="CB78">
        <v>18.7</v>
      </c>
      <c r="CC78">
        <v>18.5</v>
      </c>
      <c r="CD78">
        <v>76.599999999999994</v>
      </c>
      <c r="CE78">
        <v>71.400000000000006</v>
      </c>
      <c r="CF78">
        <v>7.2</v>
      </c>
      <c r="CG78">
        <v>7.3</v>
      </c>
      <c r="CH78">
        <v>66.8</v>
      </c>
      <c r="CI78">
        <v>70.8</v>
      </c>
      <c r="CJ78">
        <v>79.900000000000006</v>
      </c>
      <c r="CK78" s="224">
        <v>3815</v>
      </c>
      <c r="CL78" s="224">
        <v>3775</v>
      </c>
    </row>
    <row r="79" spans="1:90" ht="14.5">
      <c r="A79" t="s">
        <v>305</v>
      </c>
      <c r="B79" t="s">
        <v>306</v>
      </c>
      <c r="C79" t="s">
        <v>307</v>
      </c>
      <c r="D79" s="224">
        <v>228652</v>
      </c>
      <c r="E79" s="224">
        <v>241323</v>
      </c>
      <c r="F79" s="224">
        <v>201513</v>
      </c>
      <c r="G79" s="224">
        <v>208791</v>
      </c>
      <c r="H79" s="224">
        <v>27139</v>
      </c>
      <c r="I79" s="224">
        <v>32532</v>
      </c>
      <c r="J79" s="224">
        <v>3598</v>
      </c>
      <c r="K79" s="224">
        <v>4108</v>
      </c>
      <c r="L79">
        <v>6.7</v>
      </c>
      <c r="M79">
        <v>78.900000000000006</v>
      </c>
      <c r="N79">
        <v>83.6</v>
      </c>
      <c r="O79">
        <v>58.3</v>
      </c>
      <c r="P79">
        <v>58.1</v>
      </c>
      <c r="Q79">
        <v>805</v>
      </c>
      <c r="R79">
        <v>725</v>
      </c>
      <c r="S79" s="224">
        <v>43248</v>
      </c>
      <c r="T79">
        <v>14.4</v>
      </c>
      <c r="U79" s="224">
        <v>13005</v>
      </c>
      <c r="V79">
        <v>4.3</v>
      </c>
      <c r="W79" s="224">
        <v>19957</v>
      </c>
      <c r="X79">
        <v>3.6</v>
      </c>
      <c r="Y79">
        <v>1.7</v>
      </c>
      <c r="Z79">
        <v>1.8</v>
      </c>
      <c r="AA79">
        <v>907</v>
      </c>
      <c r="AB79">
        <v>908</v>
      </c>
      <c r="AC79" s="224">
        <v>3875</v>
      </c>
      <c r="AD79">
        <v>450</v>
      </c>
      <c r="AE79">
        <v>500</v>
      </c>
      <c r="AF79">
        <v>230</v>
      </c>
      <c r="AG79" t="s">
        <v>597</v>
      </c>
      <c r="AH79">
        <v>430</v>
      </c>
      <c r="AI79">
        <v>925</v>
      </c>
      <c r="AJ79">
        <v>445</v>
      </c>
      <c r="AK79" t="s">
        <v>597</v>
      </c>
      <c r="AL79" s="224">
        <v>1465</v>
      </c>
      <c r="AM79" s="224">
        <v>2410</v>
      </c>
      <c r="AN79">
        <v>60.8</v>
      </c>
      <c r="AO79" s="224">
        <v>125674</v>
      </c>
      <c r="AP79" s="224">
        <v>131225</v>
      </c>
      <c r="AQ79" s="224">
        <v>127032</v>
      </c>
      <c r="AR79" s="224">
        <v>283861</v>
      </c>
      <c r="AS79" s="224">
        <v>54890</v>
      </c>
      <c r="AT79" s="224">
        <v>62145</v>
      </c>
      <c r="AU79" s="224">
        <v>111083</v>
      </c>
      <c r="AV79">
        <v>84</v>
      </c>
      <c r="AW79" s="224">
        <v>40747</v>
      </c>
      <c r="AX79">
        <v>816</v>
      </c>
      <c r="AY79" s="224">
        <v>26948</v>
      </c>
      <c r="AZ79">
        <v>680</v>
      </c>
      <c r="BA79" s="224">
        <v>94993</v>
      </c>
      <c r="BB79" s="224">
        <v>111763</v>
      </c>
      <c r="BC79" s="225">
        <v>40107.17</v>
      </c>
      <c r="BD79" s="225">
        <v>21994.19</v>
      </c>
      <c r="BE79">
        <v>263.3</v>
      </c>
      <c r="BF79" s="225">
        <v>1935.36</v>
      </c>
      <c r="BG79" s="224">
        <v>16543</v>
      </c>
      <c r="BH79">
        <v>0</v>
      </c>
      <c r="BI79" s="224">
        <v>12942</v>
      </c>
      <c r="BJ79" s="224">
        <v>16442</v>
      </c>
      <c r="BK79" s="224">
        <v>8320</v>
      </c>
      <c r="BL79" s="224">
        <v>5300</v>
      </c>
      <c r="BM79" s="224">
        <v>5800</v>
      </c>
      <c r="BN79">
        <v>200</v>
      </c>
      <c r="BO79" s="224">
        <v>5400</v>
      </c>
      <c r="BP79">
        <v>450</v>
      </c>
      <c r="BQ79">
        <v>81</v>
      </c>
      <c r="BR79">
        <v>5</v>
      </c>
      <c r="BS79">
        <v>45</v>
      </c>
      <c r="BT79">
        <v>24</v>
      </c>
      <c r="BU79">
        <v>46</v>
      </c>
      <c r="BV79">
        <v>15</v>
      </c>
      <c r="BW79" s="224">
        <v>4600</v>
      </c>
      <c r="BX79">
        <v>475</v>
      </c>
      <c r="BY79">
        <v>200</v>
      </c>
      <c r="BZ79">
        <v>550</v>
      </c>
      <c r="CA79">
        <v>18.5</v>
      </c>
      <c r="CB79">
        <v>19.5</v>
      </c>
      <c r="CC79">
        <v>17.899999999999999</v>
      </c>
      <c r="CD79">
        <v>72.5</v>
      </c>
      <c r="CE79">
        <v>66.900000000000006</v>
      </c>
      <c r="CF79">
        <v>7.1</v>
      </c>
      <c r="CG79">
        <v>7.1</v>
      </c>
      <c r="CH79">
        <v>68.8</v>
      </c>
      <c r="CI79">
        <v>70.5</v>
      </c>
      <c r="CJ79">
        <v>89.8</v>
      </c>
      <c r="CK79" s="224">
        <v>1390</v>
      </c>
      <c r="CL79" s="224">
        <v>1650</v>
      </c>
    </row>
    <row r="80" spans="1:90" ht="14.5">
      <c r="A80" t="s">
        <v>308</v>
      </c>
      <c r="B80" t="s">
        <v>309</v>
      </c>
      <c r="C80" t="s">
        <v>310</v>
      </c>
      <c r="D80" s="224">
        <v>596482</v>
      </c>
      <c r="E80" s="224">
        <v>647913</v>
      </c>
      <c r="F80" s="224">
        <v>429561</v>
      </c>
      <c r="G80" s="224">
        <v>452511</v>
      </c>
      <c r="H80" s="224">
        <v>166921</v>
      </c>
      <c r="I80" s="224">
        <v>195402</v>
      </c>
      <c r="J80" s="224">
        <v>20809</v>
      </c>
      <c r="K80" s="224">
        <v>24992</v>
      </c>
      <c r="L80">
        <v>9.1</v>
      </c>
      <c r="M80">
        <v>78.7</v>
      </c>
      <c r="N80">
        <v>82.7</v>
      </c>
      <c r="O80">
        <v>58.6</v>
      </c>
      <c r="P80">
        <v>58.6</v>
      </c>
      <c r="Q80" s="225">
        <v>2065</v>
      </c>
      <c r="R80" s="224">
        <v>1795</v>
      </c>
      <c r="S80" s="224">
        <v>154574</v>
      </c>
      <c r="T80">
        <v>20.100000000000001</v>
      </c>
      <c r="U80" s="224">
        <v>44672</v>
      </c>
      <c r="V80">
        <v>5.8</v>
      </c>
      <c r="W80" s="224">
        <v>70387</v>
      </c>
      <c r="X80">
        <v>4.4000000000000004</v>
      </c>
      <c r="Y80">
        <v>1.9</v>
      </c>
      <c r="Z80">
        <v>3.3</v>
      </c>
      <c r="AA80" s="224">
        <v>8823</v>
      </c>
      <c r="AB80" s="224">
        <v>9242</v>
      </c>
      <c r="AC80" s="224">
        <v>11245</v>
      </c>
      <c r="AD80" s="224">
        <v>1760</v>
      </c>
      <c r="AE80" s="224">
        <v>1250</v>
      </c>
      <c r="AF80">
        <v>5</v>
      </c>
      <c r="AG80">
        <v>65</v>
      </c>
      <c r="AH80">
        <v>810</v>
      </c>
      <c r="AI80" s="224">
        <v>2470</v>
      </c>
      <c r="AJ80" t="s">
        <v>597</v>
      </c>
      <c r="AK80">
        <v>195</v>
      </c>
      <c r="AL80" s="224">
        <v>3880</v>
      </c>
      <c r="AM80" s="224">
        <v>7365</v>
      </c>
      <c r="AN80">
        <v>61.7</v>
      </c>
      <c r="AO80" s="224">
        <v>298373</v>
      </c>
      <c r="AP80" s="224">
        <v>322585</v>
      </c>
      <c r="AQ80" s="224">
        <v>315709</v>
      </c>
      <c r="AR80" s="224">
        <v>623013</v>
      </c>
      <c r="AS80" s="224">
        <v>141514</v>
      </c>
      <c r="AT80" s="224">
        <v>144135</v>
      </c>
      <c r="AU80" s="224">
        <v>261242</v>
      </c>
      <c r="AV80" s="224">
        <v>3761</v>
      </c>
      <c r="AW80" s="224">
        <v>79778</v>
      </c>
      <c r="AX80" s="224">
        <v>16372</v>
      </c>
      <c r="AY80" s="224">
        <v>128309</v>
      </c>
      <c r="AZ80" s="224">
        <v>17384</v>
      </c>
      <c r="BA80" s="224">
        <v>243775</v>
      </c>
      <c r="BB80" s="224">
        <v>278626</v>
      </c>
      <c r="BC80" s="225">
        <v>33168.81</v>
      </c>
      <c r="BD80" s="225">
        <v>20357.23</v>
      </c>
      <c r="BE80">
        <v>321.04000000000002</v>
      </c>
      <c r="BF80">
        <v>821.42</v>
      </c>
      <c r="BG80" s="224">
        <v>52321</v>
      </c>
      <c r="BH80" s="224">
        <v>30825</v>
      </c>
      <c r="BI80" s="224">
        <v>34257</v>
      </c>
      <c r="BJ80" s="224">
        <v>41166</v>
      </c>
      <c r="BK80" s="224">
        <v>18779</v>
      </c>
      <c r="BL80" s="224">
        <v>19000</v>
      </c>
      <c r="BM80" s="224">
        <v>21500</v>
      </c>
      <c r="BN80" s="224">
        <v>1200</v>
      </c>
      <c r="BO80" s="224">
        <v>21000</v>
      </c>
      <c r="BP80">
        <v>750</v>
      </c>
      <c r="BQ80">
        <v>79</v>
      </c>
      <c r="BR80">
        <v>5</v>
      </c>
      <c r="BS80">
        <v>16</v>
      </c>
      <c r="BT80">
        <v>40</v>
      </c>
      <c r="BU80">
        <v>44</v>
      </c>
      <c r="BV80">
        <v>82</v>
      </c>
      <c r="BW80" s="224">
        <v>16000</v>
      </c>
      <c r="BX80" s="224">
        <v>1600</v>
      </c>
      <c r="BY80">
        <v>650</v>
      </c>
      <c r="BZ80" s="224">
        <v>3100</v>
      </c>
      <c r="CA80">
        <v>18.899999999999999</v>
      </c>
      <c r="CB80">
        <v>19.399999999999999</v>
      </c>
      <c r="CC80">
        <v>18.600000000000001</v>
      </c>
      <c r="CD80">
        <v>76.3</v>
      </c>
      <c r="CE80">
        <v>75.2</v>
      </c>
      <c r="CF80">
        <v>7.4</v>
      </c>
      <c r="CG80">
        <v>7.6</v>
      </c>
      <c r="CH80">
        <v>66.8</v>
      </c>
      <c r="CI80">
        <v>65.8</v>
      </c>
      <c r="CJ80">
        <v>75.8</v>
      </c>
      <c r="CK80" s="224">
        <v>9580</v>
      </c>
      <c r="CL80" s="224">
        <v>8950</v>
      </c>
    </row>
    <row r="81" spans="1:90" ht="14.5">
      <c r="A81" t="s">
        <v>311</v>
      </c>
      <c r="B81" t="s">
        <v>312</v>
      </c>
      <c r="C81" t="s">
        <v>313</v>
      </c>
      <c r="D81" s="224">
        <v>380512</v>
      </c>
      <c r="E81" s="224">
        <v>412977</v>
      </c>
      <c r="F81" s="224">
        <v>310561</v>
      </c>
      <c r="G81" s="224">
        <v>333269</v>
      </c>
      <c r="H81" s="224">
        <v>69951</v>
      </c>
      <c r="I81" s="224">
        <v>79708</v>
      </c>
      <c r="J81" s="224">
        <v>8507</v>
      </c>
      <c r="K81" s="224">
        <v>9058</v>
      </c>
      <c r="L81">
        <v>9.1</v>
      </c>
      <c r="M81">
        <v>76.099999999999994</v>
      </c>
      <c r="N81">
        <v>80.3</v>
      </c>
      <c r="O81">
        <v>55.8</v>
      </c>
      <c r="P81">
        <v>56.7</v>
      </c>
      <c r="Q81" s="225">
        <v>1720</v>
      </c>
      <c r="R81" s="224">
        <v>1420</v>
      </c>
      <c r="S81" s="224">
        <v>105962</v>
      </c>
      <c r="T81">
        <v>21.8</v>
      </c>
      <c r="U81" s="224">
        <v>38784</v>
      </c>
      <c r="V81">
        <v>8</v>
      </c>
      <c r="W81" s="224">
        <v>44179</v>
      </c>
      <c r="X81">
        <v>3.9</v>
      </c>
      <c r="Y81">
        <v>2.5</v>
      </c>
      <c r="Z81">
        <v>3.3</v>
      </c>
      <c r="AA81" s="224">
        <v>3437</v>
      </c>
      <c r="AB81" s="224">
        <v>3457</v>
      </c>
      <c r="AC81" s="224">
        <v>9330</v>
      </c>
      <c r="AD81">
        <v>880</v>
      </c>
      <c r="AE81" s="224">
        <v>2060</v>
      </c>
      <c r="AF81">
        <v>55</v>
      </c>
      <c r="AG81" t="s">
        <v>597</v>
      </c>
      <c r="AH81">
        <v>635</v>
      </c>
      <c r="AI81" s="224">
        <v>3175</v>
      </c>
      <c r="AJ81">
        <v>20</v>
      </c>
      <c r="AK81" t="s">
        <v>597</v>
      </c>
      <c r="AL81" s="224">
        <v>3370</v>
      </c>
      <c r="AM81" s="224">
        <v>5960</v>
      </c>
      <c r="AN81">
        <v>68.599999999999994</v>
      </c>
      <c r="AO81" s="224">
        <v>288165</v>
      </c>
      <c r="AP81" s="224">
        <v>319367</v>
      </c>
      <c r="AQ81" s="224">
        <v>308628</v>
      </c>
      <c r="AR81" s="224">
        <v>644338</v>
      </c>
      <c r="AS81" s="224">
        <v>143974</v>
      </c>
      <c r="AT81" s="224">
        <v>120361</v>
      </c>
      <c r="AU81" s="224">
        <v>240317</v>
      </c>
      <c r="AV81">
        <v>891</v>
      </c>
      <c r="AW81" s="224">
        <v>69384</v>
      </c>
      <c r="AX81" s="224">
        <v>6919</v>
      </c>
      <c r="AY81" s="224">
        <v>74938</v>
      </c>
      <c r="AZ81" s="224">
        <v>5183</v>
      </c>
      <c r="BA81" s="224">
        <v>211927</v>
      </c>
      <c r="BB81" s="224">
        <v>245500</v>
      </c>
      <c r="BC81" s="225">
        <v>40289.910000000003</v>
      </c>
      <c r="BD81" s="225">
        <v>18409.900000000001</v>
      </c>
      <c r="BE81">
        <v>434.68</v>
      </c>
      <c r="BF81" s="225">
        <v>1596.83</v>
      </c>
      <c r="BG81" s="224">
        <v>37166</v>
      </c>
      <c r="BH81">
        <v>0</v>
      </c>
      <c r="BI81" s="224">
        <v>67729</v>
      </c>
      <c r="BJ81" s="224">
        <v>72896</v>
      </c>
      <c r="BK81" s="224">
        <v>7669</v>
      </c>
      <c r="BL81" s="224">
        <v>12500</v>
      </c>
      <c r="BM81" s="224">
        <v>13500</v>
      </c>
      <c r="BN81" s="224">
        <v>1100</v>
      </c>
      <c r="BO81" s="224">
        <v>12500</v>
      </c>
      <c r="BP81" s="224">
        <v>1100</v>
      </c>
      <c r="BQ81">
        <v>73</v>
      </c>
      <c r="BR81">
        <v>5</v>
      </c>
      <c r="BS81">
        <v>18</v>
      </c>
      <c r="BT81">
        <v>36</v>
      </c>
      <c r="BU81">
        <v>44</v>
      </c>
      <c r="BV81">
        <v>78</v>
      </c>
      <c r="BW81" s="224">
        <v>10000</v>
      </c>
      <c r="BX81" s="224">
        <v>1100</v>
      </c>
      <c r="BY81">
        <v>650</v>
      </c>
      <c r="BZ81" s="224">
        <v>1700</v>
      </c>
      <c r="CA81">
        <v>19.5</v>
      </c>
      <c r="CB81">
        <v>19.899999999999999</v>
      </c>
      <c r="CC81">
        <v>19.2</v>
      </c>
      <c r="CD81">
        <v>78.5</v>
      </c>
      <c r="CE81">
        <v>75.5</v>
      </c>
      <c r="CF81">
        <v>6.5</v>
      </c>
      <c r="CG81">
        <v>4.3</v>
      </c>
      <c r="CH81">
        <v>74.099999999999994</v>
      </c>
      <c r="CI81">
        <v>73.2</v>
      </c>
      <c r="CJ81">
        <v>59.5</v>
      </c>
      <c r="CK81" s="224">
        <v>3705</v>
      </c>
      <c r="CL81" s="224">
        <v>4075</v>
      </c>
    </row>
    <row r="82" spans="1:90" ht="14.5">
      <c r="A82" t="s">
        <v>314</v>
      </c>
      <c r="B82" t="s">
        <v>315</v>
      </c>
      <c r="C82" t="s">
        <v>316</v>
      </c>
      <c r="D82" s="224">
        <v>160642</v>
      </c>
      <c r="E82" s="224">
        <v>176523</v>
      </c>
      <c r="F82" s="224">
        <v>135197</v>
      </c>
      <c r="G82" s="224">
        <v>148813</v>
      </c>
      <c r="H82" s="224">
        <v>25445</v>
      </c>
      <c r="I82" s="224">
        <v>27710</v>
      </c>
      <c r="J82" s="224">
        <v>3263</v>
      </c>
      <c r="K82" s="224">
        <v>3951</v>
      </c>
      <c r="L82">
        <v>7.2</v>
      </c>
      <c r="M82">
        <v>78.599999999999994</v>
      </c>
      <c r="N82">
        <v>82.6</v>
      </c>
      <c r="O82">
        <v>56.9</v>
      </c>
      <c r="P82">
        <v>55.8</v>
      </c>
      <c r="Q82">
        <v>550</v>
      </c>
      <c r="R82">
        <v>515</v>
      </c>
      <c r="S82" s="224">
        <v>30932</v>
      </c>
      <c r="T82">
        <v>13.7</v>
      </c>
      <c r="U82" s="224">
        <v>10679</v>
      </c>
      <c r="V82">
        <v>4.7</v>
      </c>
      <c r="W82" s="224">
        <v>16099</v>
      </c>
      <c r="X82">
        <v>3.4</v>
      </c>
      <c r="Y82">
        <v>2</v>
      </c>
      <c r="Z82">
        <v>2.2999999999999998</v>
      </c>
      <c r="AA82">
        <v>992</v>
      </c>
      <c r="AB82">
        <v>994</v>
      </c>
      <c r="AC82" s="224">
        <v>4300</v>
      </c>
      <c r="AD82">
        <v>420</v>
      </c>
      <c r="AE82">
        <v>825</v>
      </c>
      <c r="AF82">
        <v>195</v>
      </c>
      <c r="AG82" t="s">
        <v>597</v>
      </c>
      <c r="AH82">
        <v>195</v>
      </c>
      <c r="AI82" s="224">
        <v>1680</v>
      </c>
      <c r="AJ82">
        <v>405</v>
      </c>
      <c r="AK82" t="s">
        <v>597</v>
      </c>
      <c r="AL82" s="224">
        <v>1615</v>
      </c>
      <c r="AM82" s="224">
        <v>2685</v>
      </c>
      <c r="AN82">
        <v>57.6</v>
      </c>
      <c r="AO82" s="224">
        <v>98563</v>
      </c>
      <c r="AP82" s="224">
        <v>103829</v>
      </c>
      <c r="AQ82" s="224">
        <v>91205</v>
      </c>
      <c r="AR82" s="224">
        <v>188496</v>
      </c>
      <c r="AS82" s="224">
        <v>47520</v>
      </c>
      <c r="AT82" s="224">
        <v>35860</v>
      </c>
      <c r="AU82" s="224">
        <v>74997</v>
      </c>
      <c r="AV82">
        <v>948</v>
      </c>
      <c r="AW82" s="224">
        <v>26674</v>
      </c>
      <c r="AX82" s="224">
        <v>3040</v>
      </c>
      <c r="AY82" s="224">
        <v>21887</v>
      </c>
      <c r="AZ82" s="224">
        <v>6869</v>
      </c>
      <c r="BA82" s="224">
        <v>70438</v>
      </c>
      <c r="BB82" s="224">
        <v>81866</v>
      </c>
      <c r="BC82" s="225">
        <v>28858.2</v>
      </c>
      <c r="BD82" s="225">
        <v>13132.22</v>
      </c>
      <c r="BE82">
        <v>325.7</v>
      </c>
      <c r="BF82" s="225">
        <v>1403.83</v>
      </c>
      <c r="BG82" s="224">
        <v>11549</v>
      </c>
      <c r="BH82" s="224">
        <v>12016</v>
      </c>
      <c r="BI82" s="224">
        <v>8708</v>
      </c>
      <c r="BJ82" s="224">
        <v>9519</v>
      </c>
      <c r="BK82">
        <v>289</v>
      </c>
      <c r="BL82" s="224">
        <v>3800</v>
      </c>
      <c r="BM82" s="224">
        <v>4100</v>
      </c>
      <c r="BN82">
        <v>475</v>
      </c>
      <c r="BO82" s="224">
        <v>3600</v>
      </c>
      <c r="BP82">
        <v>450</v>
      </c>
      <c r="BQ82">
        <v>81</v>
      </c>
      <c r="BR82">
        <v>6</v>
      </c>
      <c r="BS82">
        <v>40</v>
      </c>
      <c r="BT82">
        <v>33</v>
      </c>
      <c r="BU82">
        <v>43</v>
      </c>
      <c r="BV82">
        <v>36</v>
      </c>
      <c r="BW82" s="224">
        <v>3100</v>
      </c>
      <c r="BX82">
        <v>375</v>
      </c>
      <c r="BY82">
        <v>125</v>
      </c>
      <c r="BZ82">
        <v>450</v>
      </c>
      <c r="CA82">
        <v>18.399999999999999</v>
      </c>
      <c r="CB82">
        <v>18.7</v>
      </c>
      <c r="CC82">
        <v>18.2</v>
      </c>
      <c r="CD82">
        <v>68.599999999999994</v>
      </c>
      <c r="CE82">
        <v>65.099999999999994</v>
      </c>
      <c r="CF82">
        <v>6.8</v>
      </c>
      <c r="CG82">
        <v>7.2</v>
      </c>
      <c r="CH82">
        <v>70.2</v>
      </c>
      <c r="CI82">
        <v>69.8</v>
      </c>
      <c r="CJ82">
        <v>69.7</v>
      </c>
      <c r="CK82" s="224">
        <v>2330</v>
      </c>
      <c r="CL82">
        <v>580</v>
      </c>
    </row>
    <row r="83" spans="1:90" ht="14.5">
      <c r="A83" t="s">
        <v>317</v>
      </c>
      <c r="B83" t="s">
        <v>318</v>
      </c>
      <c r="C83" t="s">
        <v>319</v>
      </c>
      <c r="D83" s="224">
        <v>404442</v>
      </c>
      <c r="E83" s="224">
        <v>461951</v>
      </c>
      <c r="F83" s="224">
        <v>354803</v>
      </c>
      <c r="G83" s="224">
        <v>405597</v>
      </c>
      <c r="H83" s="224">
        <v>49639</v>
      </c>
      <c r="I83" s="224">
        <v>56354</v>
      </c>
      <c r="J83" s="224">
        <v>6315</v>
      </c>
      <c r="K83" s="224">
        <v>6043</v>
      </c>
      <c r="L83">
        <v>6.9</v>
      </c>
      <c r="M83">
        <v>75.599999999999994</v>
      </c>
      <c r="N83">
        <v>80.099999999999994</v>
      </c>
      <c r="O83">
        <v>56.7</v>
      </c>
      <c r="P83">
        <v>57.7</v>
      </c>
      <c r="Q83" s="225">
        <v>1190</v>
      </c>
      <c r="R83">
        <v>995</v>
      </c>
      <c r="S83" s="224">
        <v>96737</v>
      </c>
      <c r="T83">
        <v>17.5</v>
      </c>
      <c r="U83" s="224">
        <v>32978</v>
      </c>
      <c r="V83">
        <v>6</v>
      </c>
      <c r="W83" s="224">
        <v>38214</v>
      </c>
      <c r="X83">
        <v>3</v>
      </c>
      <c r="Y83">
        <v>2</v>
      </c>
      <c r="Z83">
        <v>2.4</v>
      </c>
      <c r="AA83" s="224">
        <v>2260</v>
      </c>
      <c r="AB83" s="224">
        <v>2230</v>
      </c>
      <c r="AC83" s="224">
        <v>7165</v>
      </c>
      <c r="AD83">
        <v>480</v>
      </c>
      <c r="AE83">
        <v>295</v>
      </c>
      <c r="AF83" s="224">
        <v>1680</v>
      </c>
      <c r="AG83" t="s">
        <v>597</v>
      </c>
      <c r="AH83">
        <v>195</v>
      </c>
      <c r="AI83">
        <v>185</v>
      </c>
      <c r="AJ83" s="224">
        <v>2460</v>
      </c>
      <c r="AK83" t="s">
        <v>597</v>
      </c>
      <c r="AL83" s="224">
        <v>2880</v>
      </c>
      <c r="AM83" s="224">
        <v>4285</v>
      </c>
      <c r="AN83">
        <v>60.9</v>
      </c>
      <c r="AO83" s="224">
        <v>328232</v>
      </c>
      <c r="AP83" s="224">
        <v>362518</v>
      </c>
      <c r="AQ83" s="224">
        <v>315055</v>
      </c>
      <c r="AR83" s="224">
        <v>714561</v>
      </c>
      <c r="AS83" s="224">
        <v>177146</v>
      </c>
      <c r="AT83" s="224">
        <v>101812</v>
      </c>
      <c r="AU83" s="224">
        <v>251359</v>
      </c>
      <c r="AV83" s="224">
        <v>2317</v>
      </c>
      <c r="AW83" s="224">
        <v>96454</v>
      </c>
      <c r="AX83" s="224">
        <v>13305</v>
      </c>
      <c r="AY83" s="224">
        <v>79571</v>
      </c>
      <c r="AZ83" s="224">
        <v>14089</v>
      </c>
      <c r="BA83" s="224">
        <v>233935</v>
      </c>
      <c r="BB83" s="224">
        <v>265448</v>
      </c>
      <c r="BC83" s="225">
        <v>55944.79</v>
      </c>
      <c r="BD83" s="225">
        <v>24347.02</v>
      </c>
      <c r="BE83">
        <v>442.47</v>
      </c>
      <c r="BF83" s="225">
        <v>2042.75</v>
      </c>
      <c r="BG83" s="224">
        <v>47464</v>
      </c>
      <c r="BH83" s="224">
        <v>2443</v>
      </c>
      <c r="BI83" s="224">
        <v>19677</v>
      </c>
      <c r="BJ83" s="224">
        <v>33193</v>
      </c>
      <c r="BK83" s="224">
        <v>6849</v>
      </c>
      <c r="BL83" s="224">
        <v>10000</v>
      </c>
      <c r="BM83" s="224">
        <v>11000</v>
      </c>
      <c r="BN83">
        <v>700</v>
      </c>
      <c r="BO83" s="224">
        <v>9100</v>
      </c>
      <c r="BP83" s="224">
        <v>1900</v>
      </c>
      <c r="BQ83">
        <v>74</v>
      </c>
      <c r="BR83">
        <v>5</v>
      </c>
      <c r="BS83">
        <v>25</v>
      </c>
      <c r="BT83">
        <v>37</v>
      </c>
      <c r="BU83">
        <v>43</v>
      </c>
      <c r="BV83">
        <v>52</v>
      </c>
      <c r="BW83" s="224">
        <v>7900</v>
      </c>
      <c r="BX83">
        <v>950</v>
      </c>
      <c r="BY83">
        <v>600</v>
      </c>
      <c r="BZ83" s="224">
        <v>1500</v>
      </c>
      <c r="CA83">
        <v>19</v>
      </c>
      <c r="CB83">
        <v>19.100000000000001</v>
      </c>
      <c r="CC83">
        <v>18.899999999999999</v>
      </c>
      <c r="CD83">
        <v>75.599999999999994</v>
      </c>
      <c r="CE83">
        <v>72.900000000000006</v>
      </c>
      <c r="CF83">
        <v>7.2</v>
      </c>
      <c r="CG83">
        <v>7.4</v>
      </c>
      <c r="CH83">
        <v>71</v>
      </c>
      <c r="CI83">
        <v>72</v>
      </c>
      <c r="CJ83">
        <v>81.099999999999994</v>
      </c>
      <c r="CK83" s="224">
        <v>1930</v>
      </c>
      <c r="CL83" s="224">
        <v>2295</v>
      </c>
    </row>
    <row r="84" spans="1:90" ht="14.5">
      <c r="A84" t="s">
        <v>320</v>
      </c>
      <c r="B84" t="s">
        <v>321</v>
      </c>
      <c r="C84" t="s">
        <v>322</v>
      </c>
      <c r="D84" s="224">
        <v>213423</v>
      </c>
      <c r="E84" s="224">
        <v>224997</v>
      </c>
      <c r="F84" s="224">
        <v>170710</v>
      </c>
      <c r="G84" s="224">
        <v>175950</v>
      </c>
      <c r="H84" s="224">
        <v>42713</v>
      </c>
      <c r="I84" s="224">
        <v>49047</v>
      </c>
      <c r="J84" s="224">
        <v>4806</v>
      </c>
      <c r="K84" s="224">
        <v>5905</v>
      </c>
      <c r="L84">
        <v>8.1</v>
      </c>
      <c r="M84">
        <v>78.7</v>
      </c>
      <c r="N84">
        <v>82.6</v>
      </c>
      <c r="O84">
        <v>59</v>
      </c>
      <c r="P84">
        <v>60.2</v>
      </c>
      <c r="Q84">
        <v>720</v>
      </c>
      <c r="R84">
        <v>660</v>
      </c>
      <c r="S84" s="224">
        <v>48572</v>
      </c>
      <c r="T84">
        <v>17.399999999999999</v>
      </c>
      <c r="U84" s="224">
        <v>14284</v>
      </c>
      <c r="V84">
        <v>5.0999999999999996</v>
      </c>
      <c r="W84" s="224">
        <v>22618</v>
      </c>
      <c r="X84">
        <v>3.9</v>
      </c>
      <c r="Y84">
        <v>1.9</v>
      </c>
      <c r="Z84">
        <v>2.8</v>
      </c>
      <c r="AA84" s="224">
        <v>1763</v>
      </c>
      <c r="AB84" s="224">
        <v>1705</v>
      </c>
      <c r="AC84" s="224">
        <v>3825</v>
      </c>
      <c r="AD84">
        <v>440</v>
      </c>
      <c r="AE84">
        <v>835</v>
      </c>
      <c r="AF84" t="s">
        <v>597</v>
      </c>
      <c r="AG84" t="s">
        <v>597</v>
      </c>
      <c r="AH84">
        <v>120</v>
      </c>
      <c r="AI84" s="224">
        <v>1205</v>
      </c>
      <c r="AJ84" t="s">
        <v>597</v>
      </c>
      <c r="AK84" t="s">
        <v>597</v>
      </c>
      <c r="AL84" s="224">
        <v>1515</v>
      </c>
      <c r="AM84" s="224">
        <v>2310</v>
      </c>
      <c r="AN84">
        <v>66.599999999999994</v>
      </c>
      <c r="AO84" s="224">
        <v>130999</v>
      </c>
      <c r="AP84" s="224">
        <v>152765</v>
      </c>
      <c r="AQ84" s="224">
        <v>129846</v>
      </c>
      <c r="AR84" s="224">
        <v>262285</v>
      </c>
      <c r="AS84" s="224">
        <v>69688</v>
      </c>
      <c r="AT84" s="224">
        <v>55358</v>
      </c>
      <c r="AU84" s="224">
        <v>114000</v>
      </c>
      <c r="AV84" s="224">
        <v>1009</v>
      </c>
      <c r="AW84" s="224">
        <v>41648</v>
      </c>
      <c r="AX84" s="224">
        <v>3176</v>
      </c>
      <c r="AY84" s="224">
        <v>35518</v>
      </c>
      <c r="AZ84" s="224">
        <v>3585</v>
      </c>
      <c r="BA84" s="224">
        <v>100060</v>
      </c>
      <c r="BB84" s="224">
        <v>117585</v>
      </c>
      <c r="BC84" s="225">
        <v>43110.23</v>
      </c>
      <c r="BD84" s="225">
        <v>22629</v>
      </c>
      <c r="BE84">
        <v>401.8</v>
      </c>
      <c r="BF84" s="225">
        <v>1193.43</v>
      </c>
      <c r="BG84" s="224">
        <v>22491</v>
      </c>
      <c r="BH84">
        <v>0</v>
      </c>
      <c r="BI84" s="224">
        <v>18727</v>
      </c>
      <c r="BJ84" s="224">
        <v>18757</v>
      </c>
      <c r="BK84" s="224">
        <v>1457</v>
      </c>
      <c r="BL84" s="224">
        <v>6000</v>
      </c>
      <c r="BM84" s="224">
        <v>6500</v>
      </c>
      <c r="BN84">
        <v>325</v>
      </c>
      <c r="BO84" s="224">
        <v>6200</v>
      </c>
      <c r="BP84">
        <v>325</v>
      </c>
      <c r="BQ84">
        <v>76</v>
      </c>
      <c r="BR84">
        <v>5</v>
      </c>
      <c r="BS84">
        <v>37</v>
      </c>
      <c r="BT84">
        <v>33</v>
      </c>
      <c r="BU84">
        <v>43</v>
      </c>
      <c r="BV84">
        <v>46</v>
      </c>
      <c r="BW84" s="224">
        <v>5000</v>
      </c>
      <c r="BX84">
        <v>550</v>
      </c>
      <c r="BY84">
        <v>250</v>
      </c>
      <c r="BZ84">
        <v>750</v>
      </c>
      <c r="CA84">
        <v>18.8</v>
      </c>
      <c r="CB84">
        <v>19.2</v>
      </c>
      <c r="CC84">
        <v>18.600000000000001</v>
      </c>
      <c r="CD84">
        <v>76.599999999999994</v>
      </c>
      <c r="CE84">
        <v>70.5</v>
      </c>
      <c r="CF84">
        <v>7.1</v>
      </c>
      <c r="CG84">
        <v>7.3</v>
      </c>
      <c r="CH84">
        <v>69.5</v>
      </c>
      <c r="CI84">
        <v>72.400000000000006</v>
      </c>
      <c r="CJ84">
        <v>73.8</v>
      </c>
      <c r="CK84" s="224">
        <v>1670</v>
      </c>
      <c r="CL84" s="224">
        <v>1895</v>
      </c>
    </row>
    <row r="85" spans="1:90" ht="14.5">
      <c r="A85" t="s">
        <v>323</v>
      </c>
      <c r="B85" t="s">
        <v>324</v>
      </c>
      <c r="C85" t="s">
        <v>325</v>
      </c>
      <c r="D85" s="224">
        <v>167141</v>
      </c>
      <c r="E85" s="224">
        <v>174114</v>
      </c>
      <c r="F85" s="224">
        <v>142139</v>
      </c>
      <c r="G85" s="224">
        <v>144366</v>
      </c>
      <c r="H85" s="224">
        <v>25002</v>
      </c>
      <c r="I85" s="224">
        <v>29748</v>
      </c>
      <c r="J85" s="224">
        <v>3474</v>
      </c>
      <c r="K85" s="224">
        <v>3961</v>
      </c>
      <c r="L85">
        <v>6.4</v>
      </c>
      <c r="M85">
        <v>80.900000000000006</v>
      </c>
      <c r="N85">
        <v>85</v>
      </c>
      <c r="O85">
        <v>62.4</v>
      </c>
      <c r="P85">
        <v>61.9</v>
      </c>
      <c r="Q85">
        <v>445</v>
      </c>
      <c r="R85">
        <v>390</v>
      </c>
      <c r="S85" s="224">
        <v>25902</v>
      </c>
      <c r="T85">
        <v>12</v>
      </c>
      <c r="U85" s="224">
        <v>7303</v>
      </c>
      <c r="V85">
        <v>3.4</v>
      </c>
      <c r="W85" s="224">
        <v>13893</v>
      </c>
      <c r="X85">
        <v>3.5</v>
      </c>
      <c r="Y85">
        <v>1.5</v>
      </c>
      <c r="Z85">
        <v>1.9</v>
      </c>
      <c r="AA85">
        <v>978</v>
      </c>
      <c r="AB85">
        <v>867</v>
      </c>
      <c r="AC85" s="224">
        <v>2320</v>
      </c>
      <c r="AD85">
        <v>215</v>
      </c>
      <c r="AE85">
        <v>475</v>
      </c>
      <c r="AF85" t="s">
        <v>597</v>
      </c>
      <c r="AG85" t="s">
        <v>597</v>
      </c>
      <c r="AH85">
        <v>175</v>
      </c>
      <c r="AI85">
        <v>860</v>
      </c>
      <c r="AJ85" t="s">
        <v>597</v>
      </c>
      <c r="AK85" t="s">
        <v>597</v>
      </c>
      <c r="AL85">
        <v>830</v>
      </c>
      <c r="AM85" s="224">
        <v>1490</v>
      </c>
      <c r="AN85">
        <v>65.3</v>
      </c>
      <c r="AO85" s="224">
        <v>87038</v>
      </c>
      <c r="AP85" s="224">
        <v>96190</v>
      </c>
      <c r="AQ85" s="224">
        <v>81206</v>
      </c>
      <c r="AR85" s="224">
        <v>186176</v>
      </c>
      <c r="AS85" s="224">
        <v>34641</v>
      </c>
      <c r="AT85" s="224">
        <v>34849</v>
      </c>
      <c r="AU85" s="224">
        <v>65541</v>
      </c>
      <c r="AV85">
        <v>473</v>
      </c>
      <c r="AW85" s="224">
        <v>23396</v>
      </c>
      <c r="AX85" s="224">
        <v>2755</v>
      </c>
      <c r="AY85" s="224">
        <v>22991</v>
      </c>
      <c r="AZ85" s="224">
        <v>3153</v>
      </c>
      <c r="BA85" s="224">
        <v>62271</v>
      </c>
      <c r="BB85" s="224">
        <v>68694</v>
      </c>
      <c r="BC85" s="225">
        <v>40457.83</v>
      </c>
      <c r="BD85" s="225">
        <v>23566.44</v>
      </c>
      <c r="BE85">
        <v>243.23</v>
      </c>
      <c r="BF85" s="225">
        <v>1264.08</v>
      </c>
      <c r="BG85" s="224">
        <v>13859</v>
      </c>
      <c r="BH85">
        <v>0</v>
      </c>
      <c r="BI85" s="224">
        <v>9563</v>
      </c>
      <c r="BJ85" s="224">
        <v>13083</v>
      </c>
      <c r="BK85" s="224">
        <v>3669</v>
      </c>
      <c r="BL85" s="224">
        <v>3400</v>
      </c>
      <c r="BM85" s="224">
        <v>4300</v>
      </c>
      <c r="BN85">
        <v>300</v>
      </c>
      <c r="BO85" s="224">
        <v>3900</v>
      </c>
      <c r="BP85">
        <v>325</v>
      </c>
      <c r="BQ85">
        <v>78</v>
      </c>
      <c r="BR85">
        <v>7</v>
      </c>
      <c r="BS85">
        <v>48</v>
      </c>
      <c r="BT85">
        <v>35</v>
      </c>
      <c r="BU85">
        <v>47</v>
      </c>
      <c r="BV85">
        <v>17</v>
      </c>
      <c r="BW85" s="224">
        <v>3300</v>
      </c>
      <c r="BX85">
        <v>300</v>
      </c>
      <c r="BY85">
        <v>175</v>
      </c>
      <c r="BZ85">
        <v>475</v>
      </c>
      <c r="CA85">
        <v>19</v>
      </c>
      <c r="CB85">
        <v>19.7</v>
      </c>
      <c r="CC85">
        <v>18.5</v>
      </c>
      <c r="CD85">
        <v>70.2</v>
      </c>
      <c r="CE85">
        <v>64.599999999999994</v>
      </c>
      <c r="CF85">
        <v>7.1</v>
      </c>
      <c r="CG85">
        <v>7.4</v>
      </c>
      <c r="CH85">
        <v>70.5</v>
      </c>
      <c r="CI85">
        <v>70</v>
      </c>
      <c r="CJ85">
        <v>97.2</v>
      </c>
      <c r="CK85" s="224">
        <v>1225</v>
      </c>
      <c r="CL85" s="224">
        <v>1225</v>
      </c>
    </row>
    <row r="86" spans="1:90" ht="14.5">
      <c r="A86" t="s">
        <v>326</v>
      </c>
      <c r="B86" t="s">
        <v>327</v>
      </c>
      <c r="C86" t="s">
        <v>328</v>
      </c>
      <c r="D86" s="224">
        <v>107623</v>
      </c>
      <c r="E86" s="224">
        <v>118291</v>
      </c>
      <c r="F86" s="224">
        <v>85421</v>
      </c>
      <c r="G86" s="224">
        <v>91755</v>
      </c>
      <c r="H86" s="224">
        <v>22202</v>
      </c>
      <c r="I86" s="224">
        <v>26536</v>
      </c>
      <c r="J86" s="224">
        <v>2702</v>
      </c>
      <c r="K86" s="224">
        <v>3273</v>
      </c>
      <c r="L86">
        <v>8.6999999999999993</v>
      </c>
      <c r="M86">
        <v>75.5</v>
      </c>
      <c r="N86">
        <v>80.5</v>
      </c>
      <c r="O86">
        <v>53.9</v>
      </c>
      <c r="P86">
        <v>54.2</v>
      </c>
      <c r="Q86">
        <v>700</v>
      </c>
      <c r="R86">
        <v>605</v>
      </c>
      <c r="S86" s="224">
        <v>29520</v>
      </c>
      <c r="T86">
        <v>20.5</v>
      </c>
      <c r="U86" s="224">
        <v>10514</v>
      </c>
      <c r="V86">
        <v>7.3</v>
      </c>
      <c r="W86" s="224">
        <v>12537</v>
      </c>
      <c r="X86">
        <v>3.5</v>
      </c>
      <c r="Y86">
        <v>2.5</v>
      </c>
      <c r="Z86">
        <v>3.3</v>
      </c>
      <c r="AA86" s="224">
        <v>1924</v>
      </c>
      <c r="AB86" s="224">
        <v>1793</v>
      </c>
      <c r="AC86" s="224">
        <v>5440</v>
      </c>
      <c r="AD86">
        <v>425</v>
      </c>
      <c r="AE86" s="224">
        <v>1310</v>
      </c>
      <c r="AF86" t="s">
        <v>597</v>
      </c>
      <c r="AG86" t="s">
        <v>597</v>
      </c>
      <c r="AH86">
        <v>125</v>
      </c>
      <c r="AI86" s="224">
        <v>2315</v>
      </c>
      <c r="AJ86" t="s">
        <v>597</v>
      </c>
      <c r="AK86" t="s">
        <v>597</v>
      </c>
      <c r="AL86" s="224">
        <v>1995</v>
      </c>
      <c r="AM86" s="224">
        <v>3445</v>
      </c>
      <c r="AN86">
        <v>65.599999999999994</v>
      </c>
      <c r="AO86" s="224">
        <v>85628</v>
      </c>
      <c r="AP86" s="224">
        <v>91034</v>
      </c>
      <c r="AQ86" s="224">
        <v>74119</v>
      </c>
      <c r="AR86" s="224">
        <v>153580</v>
      </c>
      <c r="AS86" s="224">
        <v>31865</v>
      </c>
      <c r="AT86" s="224">
        <v>36667</v>
      </c>
      <c r="AU86" s="224">
        <v>64260</v>
      </c>
      <c r="AV86" s="224">
        <v>1267</v>
      </c>
      <c r="AW86" s="224">
        <v>19739</v>
      </c>
      <c r="AX86" s="224">
        <v>2819</v>
      </c>
      <c r="AY86" s="224">
        <v>21802</v>
      </c>
      <c r="AZ86" s="224">
        <v>3268</v>
      </c>
      <c r="BA86" s="224">
        <v>65168</v>
      </c>
      <c r="BB86" s="224">
        <v>67528</v>
      </c>
      <c r="BC86" s="225">
        <v>15812.03</v>
      </c>
      <c r="BD86" s="225">
        <v>10444.99</v>
      </c>
      <c r="BE86">
        <v>361.09</v>
      </c>
      <c r="BF86" s="225">
        <v>1488.02</v>
      </c>
      <c r="BG86" s="224">
        <v>16915</v>
      </c>
      <c r="BH86">
        <v>31</v>
      </c>
      <c r="BI86" s="224">
        <v>12727</v>
      </c>
      <c r="BJ86" s="224">
        <v>36316</v>
      </c>
      <c r="BK86">
        <v>849</v>
      </c>
      <c r="BL86" s="224">
        <v>6000</v>
      </c>
      <c r="BM86" s="224">
        <v>6300</v>
      </c>
      <c r="BN86">
        <v>175</v>
      </c>
      <c r="BO86" s="224">
        <v>5900</v>
      </c>
      <c r="BP86">
        <v>475</v>
      </c>
      <c r="BQ86">
        <v>79</v>
      </c>
      <c r="BR86">
        <v>5</v>
      </c>
      <c r="BS86">
        <v>13</v>
      </c>
      <c r="BT86">
        <v>42</v>
      </c>
      <c r="BU86">
        <v>45</v>
      </c>
      <c r="BV86">
        <v>82</v>
      </c>
      <c r="BW86" s="224">
        <v>4200</v>
      </c>
      <c r="BX86">
        <v>650</v>
      </c>
      <c r="BY86">
        <v>275</v>
      </c>
      <c r="BZ86" s="224">
        <v>1200</v>
      </c>
      <c r="CA86">
        <v>19.2</v>
      </c>
      <c r="CB86">
        <v>19.7</v>
      </c>
      <c r="CC86">
        <v>18.8</v>
      </c>
      <c r="CD86">
        <v>78.3</v>
      </c>
      <c r="CE86">
        <v>76.8</v>
      </c>
      <c r="CF86">
        <v>7.6</v>
      </c>
      <c r="CG86">
        <v>7.8</v>
      </c>
      <c r="CH86">
        <v>65.900000000000006</v>
      </c>
      <c r="CI86">
        <v>67.8</v>
      </c>
      <c r="CJ86">
        <v>90.9</v>
      </c>
      <c r="CK86" s="224">
        <v>1110</v>
      </c>
      <c r="CL86" s="224">
        <v>1025</v>
      </c>
    </row>
    <row r="87" spans="1:90" ht="14.5">
      <c r="A87" t="s">
        <v>329</v>
      </c>
      <c r="B87" t="s">
        <v>330</v>
      </c>
      <c r="C87" t="s">
        <v>331</v>
      </c>
      <c r="D87" s="224">
        <v>203088</v>
      </c>
      <c r="E87" s="224">
        <v>235632</v>
      </c>
      <c r="F87" s="224">
        <v>169660</v>
      </c>
      <c r="G87" s="224">
        <v>190737</v>
      </c>
      <c r="H87" s="224">
        <v>33428</v>
      </c>
      <c r="I87" s="224">
        <v>44895</v>
      </c>
      <c r="J87" s="224">
        <v>3880</v>
      </c>
      <c r="K87" s="224">
        <v>5107</v>
      </c>
      <c r="L87">
        <v>7.1</v>
      </c>
      <c r="M87">
        <v>80.2</v>
      </c>
      <c r="N87">
        <v>83</v>
      </c>
      <c r="O87">
        <v>60.8</v>
      </c>
      <c r="P87">
        <v>61.5</v>
      </c>
      <c r="Q87">
        <v>625</v>
      </c>
      <c r="R87">
        <v>580</v>
      </c>
      <c r="S87" s="224">
        <v>42512</v>
      </c>
      <c r="T87">
        <v>14.8</v>
      </c>
      <c r="U87" s="224">
        <v>11907</v>
      </c>
      <c r="V87">
        <v>4.0999999999999996</v>
      </c>
      <c r="W87" s="224">
        <v>20604</v>
      </c>
      <c r="X87">
        <v>3.8</v>
      </c>
      <c r="Y87">
        <v>1.6</v>
      </c>
      <c r="Z87">
        <v>2.2000000000000002</v>
      </c>
      <c r="AA87" s="224">
        <v>1612</v>
      </c>
      <c r="AB87" s="224">
        <v>1684</v>
      </c>
      <c r="AC87" s="224">
        <v>3565</v>
      </c>
      <c r="AD87">
        <v>370</v>
      </c>
      <c r="AE87">
        <v>940</v>
      </c>
      <c r="AF87">
        <v>25</v>
      </c>
      <c r="AG87" t="s">
        <v>597</v>
      </c>
      <c r="AH87">
        <v>150</v>
      </c>
      <c r="AI87" s="224">
        <v>1180</v>
      </c>
      <c r="AJ87">
        <v>50</v>
      </c>
      <c r="AK87" t="s">
        <v>597</v>
      </c>
      <c r="AL87" s="224">
        <v>1445</v>
      </c>
      <c r="AM87" s="224">
        <v>2120</v>
      </c>
      <c r="AN87">
        <v>65.7</v>
      </c>
      <c r="AO87" s="224">
        <v>131196</v>
      </c>
      <c r="AP87" s="224">
        <v>140652</v>
      </c>
      <c r="AQ87" s="224">
        <v>119357</v>
      </c>
      <c r="AR87" s="224">
        <v>270650</v>
      </c>
      <c r="AS87" s="224">
        <v>55927</v>
      </c>
      <c r="AT87" s="224">
        <v>56927</v>
      </c>
      <c r="AU87" s="224">
        <v>100473</v>
      </c>
      <c r="AV87" s="224">
        <v>1395</v>
      </c>
      <c r="AW87" s="224">
        <v>32478</v>
      </c>
      <c r="AX87" s="224">
        <v>1449</v>
      </c>
      <c r="AY87" s="224">
        <v>37570</v>
      </c>
      <c r="AZ87" s="224">
        <v>1728</v>
      </c>
      <c r="BA87" s="224">
        <v>86722</v>
      </c>
      <c r="BB87" s="224">
        <v>102201</v>
      </c>
      <c r="BC87" s="225">
        <v>34761.94</v>
      </c>
      <c r="BD87" s="225">
        <v>24514.15</v>
      </c>
      <c r="BE87">
        <v>300.52999999999997</v>
      </c>
      <c r="BF87" s="225">
        <v>1300.28</v>
      </c>
      <c r="BG87" s="224">
        <v>21794</v>
      </c>
      <c r="BH87">
        <v>0</v>
      </c>
      <c r="BI87" s="224">
        <v>8106</v>
      </c>
      <c r="BJ87" s="224">
        <v>14677</v>
      </c>
      <c r="BK87">
        <v>31</v>
      </c>
      <c r="BL87" s="224">
        <v>8200</v>
      </c>
      <c r="BM87" s="224">
        <v>9200</v>
      </c>
      <c r="BN87">
        <v>600</v>
      </c>
      <c r="BO87" s="224">
        <v>8300</v>
      </c>
      <c r="BP87">
        <v>850</v>
      </c>
      <c r="BQ87">
        <v>78</v>
      </c>
      <c r="BR87">
        <v>8</v>
      </c>
      <c r="BS87">
        <v>39</v>
      </c>
      <c r="BT87">
        <v>37</v>
      </c>
      <c r="BU87">
        <v>45</v>
      </c>
      <c r="BV87">
        <v>39</v>
      </c>
      <c r="BW87" s="224">
        <v>7100</v>
      </c>
      <c r="BX87">
        <v>750</v>
      </c>
      <c r="BY87">
        <v>275</v>
      </c>
      <c r="BZ87" s="224">
        <v>1000</v>
      </c>
      <c r="CA87">
        <v>19</v>
      </c>
      <c r="CB87">
        <v>19.5</v>
      </c>
      <c r="CC87">
        <v>18.600000000000001</v>
      </c>
      <c r="CD87">
        <v>79.400000000000006</v>
      </c>
      <c r="CE87">
        <v>74</v>
      </c>
      <c r="CF87">
        <v>7.2</v>
      </c>
      <c r="CG87">
        <v>7.5</v>
      </c>
      <c r="CH87">
        <v>69.900000000000006</v>
      </c>
      <c r="CI87">
        <v>74.900000000000006</v>
      </c>
      <c r="CJ87">
        <v>84.8</v>
      </c>
      <c r="CK87">
        <v>830</v>
      </c>
      <c r="CL87" s="224">
        <v>1075</v>
      </c>
    </row>
    <row r="88" spans="1:90" ht="14.5">
      <c r="A88" t="s">
        <v>332</v>
      </c>
      <c r="B88" t="s">
        <v>333</v>
      </c>
      <c r="C88" t="s">
        <v>334</v>
      </c>
      <c r="D88" s="224">
        <v>232233</v>
      </c>
      <c r="E88" s="224">
        <v>260807</v>
      </c>
      <c r="F88" s="224">
        <v>190602</v>
      </c>
      <c r="G88" s="224">
        <v>212333</v>
      </c>
      <c r="H88" s="224">
        <v>41631</v>
      </c>
      <c r="I88" s="224">
        <v>48474</v>
      </c>
      <c r="J88" s="224">
        <v>5766</v>
      </c>
      <c r="K88" s="224">
        <v>6641</v>
      </c>
      <c r="L88">
        <v>7.8</v>
      </c>
      <c r="M88">
        <v>77.5</v>
      </c>
      <c r="N88">
        <v>81.900000000000006</v>
      </c>
      <c r="O88">
        <v>60.3</v>
      </c>
      <c r="P88">
        <v>60.7</v>
      </c>
      <c r="Q88" s="225">
        <v>1020</v>
      </c>
      <c r="R88">
        <v>870</v>
      </c>
      <c r="S88" s="224">
        <v>56961</v>
      </c>
      <c r="T88">
        <v>19</v>
      </c>
      <c r="U88" s="224">
        <v>18986</v>
      </c>
      <c r="V88">
        <v>6.3</v>
      </c>
      <c r="W88" s="224">
        <v>23393</v>
      </c>
      <c r="X88">
        <v>3.6</v>
      </c>
      <c r="Y88">
        <v>1.9</v>
      </c>
      <c r="Z88">
        <v>2.7</v>
      </c>
      <c r="AA88" s="224">
        <v>2609</v>
      </c>
      <c r="AB88" s="224">
        <v>2632</v>
      </c>
      <c r="AC88" s="224">
        <v>5015</v>
      </c>
      <c r="AD88">
        <v>405</v>
      </c>
      <c r="AE88" s="224">
        <v>1095</v>
      </c>
      <c r="AF88">
        <v>5</v>
      </c>
      <c r="AG88" t="s">
        <v>597</v>
      </c>
      <c r="AH88">
        <v>150</v>
      </c>
      <c r="AI88" s="224">
        <v>1710</v>
      </c>
      <c r="AJ88" t="s">
        <v>597</v>
      </c>
      <c r="AK88" t="s">
        <v>597</v>
      </c>
      <c r="AL88" s="224">
        <v>1710</v>
      </c>
      <c r="AM88" s="224">
        <v>3305</v>
      </c>
      <c r="AN88">
        <v>64.900000000000006</v>
      </c>
      <c r="AO88" s="224">
        <v>189777</v>
      </c>
      <c r="AP88" s="224">
        <v>203339</v>
      </c>
      <c r="AQ88" s="224">
        <v>174277</v>
      </c>
      <c r="AR88" s="224">
        <v>287160</v>
      </c>
      <c r="AS88" s="224">
        <v>93992</v>
      </c>
      <c r="AT88" s="224">
        <v>74958</v>
      </c>
      <c r="AU88" s="224">
        <v>153704</v>
      </c>
      <c r="AV88" s="224">
        <v>2409</v>
      </c>
      <c r="AW88" s="224">
        <v>73744</v>
      </c>
      <c r="AX88" s="224">
        <v>4827</v>
      </c>
      <c r="AY88" s="224">
        <v>35498</v>
      </c>
      <c r="AZ88" s="224">
        <v>6482</v>
      </c>
      <c r="BA88" s="224">
        <v>143552</v>
      </c>
      <c r="BB88" s="224">
        <v>160186</v>
      </c>
      <c r="BC88" s="225">
        <v>52391.81</v>
      </c>
      <c r="BD88" s="225">
        <v>21360.36</v>
      </c>
      <c r="BE88">
        <v>454.01</v>
      </c>
      <c r="BF88" s="225">
        <v>1645.93</v>
      </c>
      <c r="BG88" s="224">
        <v>29293</v>
      </c>
      <c r="BH88">
        <v>0</v>
      </c>
      <c r="BI88" s="224">
        <v>14199</v>
      </c>
      <c r="BJ88" s="224">
        <v>39892</v>
      </c>
      <c r="BK88">
        <v>4</v>
      </c>
      <c r="BL88" s="224">
        <v>8300</v>
      </c>
      <c r="BM88" s="224">
        <v>8900</v>
      </c>
      <c r="BN88">
        <v>375</v>
      </c>
      <c r="BO88" s="224">
        <v>8100</v>
      </c>
      <c r="BP88">
        <v>800</v>
      </c>
      <c r="BQ88">
        <v>75</v>
      </c>
      <c r="BR88">
        <v>3</v>
      </c>
      <c r="BS88">
        <v>18</v>
      </c>
      <c r="BT88">
        <v>37</v>
      </c>
      <c r="BU88">
        <v>44</v>
      </c>
      <c r="BV88">
        <v>74</v>
      </c>
      <c r="BW88" s="224">
        <v>6600</v>
      </c>
      <c r="BX88">
        <v>700</v>
      </c>
      <c r="BY88">
        <v>425</v>
      </c>
      <c r="BZ88" s="224">
        <v>1200</v>
      </c>
      <c r="CA88">
        <v>19.399999999999999</v>
      </c>
      <c r="CB88">
        <v>19.8</v>
      </c>
      <c r="CC88">
        <v>19.100000000000001</v>
      </c>
      <c r="CD88">
        <v>78.099999999999994</v>
      </c>
      <c r="CE88">
        <v>76.2</v>
      </c>
      <c r="CF88">
        <v>7.2</v>
      </c>
      <c r="CG88">
        <v>7.3</v>
      </c>
      <c r="CH88">
        <v>74.900000000000006</v>
      </c>
      <c r="CI88">
        <v>77.3</v>
      </c>
      <c r="CJ88">
        <v>86.4</v>
      </c>
      <c r="CK88" s="224">
        <v>1900</v>
      </c>
      <c r="CL88" s="224">
        <v>2045</v>
      </c>
    </row>
    <row r="89" spans="1:90" ht="14.5">
      <c r="A89" t="s">
        <v>335</v>
      </c>
      <c r="B89" t="s">
        <v>336</v>
      </c>
      <c r="C89" t="s">
        <v>337</v>
      </c>
      <c r="D89" s="224">
        <v>247204</v>
      </c>
      <c r="E89" s="224">
        <v>297042</v>
      </c>
      <c r="F89" s="224">
        <v>225274</v>
      </c>
      <c r="G89" s="224">
        <v>267739</v>
      </c>
      <c r="H89" s="224">
        <v>21930</v>
      </c>
      <c r="I89" s="224">
        <v>29303</v>
      </c>
      <c r="J89" s="224">
        <v>2406</v>
      </c>
      <c r="K89" s="224">
        <v>3042</v>
      </c>
      <c r="L89">
        <v>6.1</v>
      </c>
      <c r="M89">
        <v>79.2</v>
      </c>
      <c r="N89">
        <v>83.6</v>
      </c>
      <c r="O89">
        <v>62.8</v>
      </c>
      <c r="P89">
        <v>63.1</v>
      </c>
      <c r="Q89">
        <v>770</v>
      </c>
      <c r="R89">
        <v>690</v>
      </c>
      <c r="S89" s="224">
        <v>42032</v>
      </c>
      <c r="T89">
        <v>12</v>
      </c>
      <c r="U89" s="224">
        <v>15883</v>
      </c>
      <c r="V89">
        <v>4.5</v>
      </c>
      <c r="W89" s="224">
        <v>21556</v>
      </c>
      <c r="X89">
        <v>2.6</v>
      </c>
      <c r="Y89">
        <v>1.9</v>
      </c>
      <c r="Z89">
        <v>2</v>
      </c>
      <c r="AA89">
        <v>602</v>
      </c>
      <c r="AB89">
        <v>595</v>
      </c>
      <c r="AC89" s="224">
        <v>5070</v>
      </c>
      <c r="AD89">
        <v>830</v>
      </c>
      <c r="AE89" s="224">
        <v>1325</v>
      </c>
      <c r="AF89" t="s">
        <v>597</v>
      </c>
      <c r="AG89" t="s">
        <v>597</v>
      </c>
      <c r="AH89">
        <v>505</v>
      </c>
      <c r="AI89" s="224">
        <v>1810</v>
      </c>
      <c r="AJ89" t="s">
        <v>597</v>
      </c>
      <c r="AK89" t="s">
        <v>597</v>
      </c>
      <c r="AL89" s="224">
        <v>2295</v>
      </c>
      <c r="AM89" s="224">
        <v>2775</v>
      </c>
      <c r="AN89">
        <v>59.7</v>
      </c>
      <c r="AO89" s="224">
        <v>139432</v>
      </c>
      <c r="AP89" s="224">
        <v>142438</v>
      </c>
      <c r="AQ89" s="224">
        <v>148441</v>
      </c>
      <c r="AR89" s="224">
        <v>332139</v>
      </c>
      <c r="AS89" s="224">
        <v>68868</v>
      </c>
      <c r="AT89" s="224">
        <v>50752</v>
      </c>
      <c r="AU89" s="224">
        <v>121917</v>
      </c>
      <c r="AV89">
        <v>779</v>
      </c>
      <c r="AW89" s="224">
        <v>36930</v>
      </c>
      <c r="AX89" s="224">
        <v>3802</v>
      </c>
      <c r="AY89" s="224">
        <v>45073</v>
      </c>
      <c r="AZ89" s="224">
        <v>3759</v>
      </c>
      <c r="BA89" s="224">
        <v>115743</v>
      </c>
      <c r="BB89" s="224">
        <v>125676</v>
      </c>
      <c r="BC89" s="225">
        <v>30770.81</v>
      </c>
      <c r="BD89" s="225">
        <v>19840.36</v>
      </c>
      <c r="BE89">
        <v>260.13</v>
      </c>
      <c r="BF89" s="225">
        <v>1861.72</v>
      </c>
      <c r="BG89" s="224">
        <v>14919</v>
      </c>
      <c r="BH89">
        <v>0</v>
      </c>
      <c r="BI89" s="224">
        <v>24883</v>
      </c>
      <c r="BJ89" s="224">
        <v>31175</v>
      </c>
      <c r="BK89">
        <v>0</v>
      </c>
      <c r="BL89" s="224">
        <v>4100</v>
      </c>
      <c r="BM89" s="224">
        <v>5200</v>
      </c>
      <c r="BN89">
        <v>225</v>
      </c>
      <c r="BO89" s="224">
        <v>4700</v>
      </c>
      <c r="BP89">
        <v>500</v>
      </c>
      <c r="BQ89">
        <v>72</v>
      </c>
      <c r="BR89">
        <v>5</v>
      </c>
      <c r="BS89">
        <v>53</v>
      </c>
      <c r="BT89">
        <v>25</v>
      </c>
      <c r="BU89">
        <v>43</v>
      </c>
      <c r="BV89">
        <v>11</v>
      </c>
      <c r="BW89" s="224">
        <v>4000</v>
      </c>
      <c r="BX89">
        <v>500</v>
      </c>
      <c r="BY89">
        <v>200</v>
      </c>
      <c r="BZ89">
        <v>425</v>
      </c>
      <c r="CA89">
        <v>18.5</v>
      </c>
      <c r="CB89">
        <v>18.7</v>
      </c>
      <c r="CC89">
        <v>18.2</v>
      </c>
      <c r="CD89">
        <v>68.7</v>
      </c>
      <c r="CE89">
        <v>65.5</v>
      </c>
      <c r="CF89">
        <v>7.1</v>
      </c>
      <c r="CG89">
        <v>7.1</v>
      </c>
      <c r="CH89">
        <v>67.7</v>
      </c>
      <c r="CI89">
        <v>68.400000000000006</v>
      </c>
      <c r="CJ89">
        <v>95.7</v>
      </c>
      <c r="CK89" s="224">
        <v>1265</v>
      </c>
      <c r="CL89" s="224">
        <v>1170</v>
      </c>
    </row>
    <row r="90" spans="1:90" ht="14.5">
      <c r="A90" t="s">
        <v>338</v>
      </c>
      <c r="B90" t="s">
        <v>339</v>
      </c>
      <c r="C90" t="s">
        <v>340</v>
      </c>
      <c r="D90" s="224">
        <v>716909</v>
      </c>
      <c r="E90" s="224">
        <v>775860</v>
      </c>
      <c r="F90" s="224">
        <v>508745</v>
      </c>
      <c r="G90" s="224">
        <v>536160</v>
      </c>
      <c r="H90" s="224">
        <v>208164</v>
      </c>
      <c r="I90" s="224">
        <v>239700</v>
      </c>
      <c r="J90" s="224">
        <v>28519</v>
      </c>
      <c r="K90" s="224">
        <v>33501</v>
      </c>
      <c r="L90">
        <v>8.9</v>
      </c>
      <c r="M90">
        <v>79.8</v>
      </c>
      <c r="N90">
        <v>83.6</v>
      </c>
      <c r="O90">
        <v>61.3</v>
      </c>
      <c r="P90">
        <v>61.1</v>
      </c>
      <c r="Q90" s="225">
        <v>2845</v>
      </c>
      <c r="R90" s="224">
        <v>2495</v>
      </c>
      <c r="S90" s="224">
        <v>184290</v>
      </c>
      <c r="T90">
        <v>20.100000000000001</v>
      </c>
      <c r="U90" s="224">
        <v>50657</v>
      </c>
      <c r="V90">
        <v>5.5</v>
      </c>
      <c r="W90" s="224">
        <v>81535</v>
      </c>
      <c r="X90">
        <v>4.5999999999999996</v>
      </c>
      <c r="Y90">
        <v>1.8</v>
      </c>
      <c r="Z90">
        <v>2.9</v>
      </c>
      <c r="AA90" s="224">
        <v>10012</v>
      </c>
      <c r="AB90" s="224">
        <v>10335</v>
      </c>
      <c r="AC90" s="224">
        <v>18025</v>
      </c>
      <c r="AD90" s="224">
        <v>1540</v>
      </c>
      <c r="AE90" s="224">
        <v>3195</v>
      </c>
      <c r="AF90">
        <v>385</v>
      </c>
      <c r="AG90" t="s">
        <v>597</v>
      </c>
      <c r="AH90">
        <v>560</v>
      </c>
      <c r="AI90" s="224">
        <v>5915</v>
      </c>
      <c r="AJ90">
        <v>55</v>
      </c>
      <c r="AK90" t="s">
        <v>597</v>
      </c>
      <c r="AL90" s="224">
        <v>6155</v>
      </c>
      <c r="AM90" s="224">
        <v>11870</v>
      </c>
      <c r="AN90">
        <v>67.8</v>
      </c>
      <c r="AO90" s="224">
        <v>515696</v>
      </c>
      <c r="AP90" s="224">
        <v>548678</v>
      </c>
      <c r="AQ90" s="224">
        <v>477580</v>
      </c>
      <c r="AR90" s="224">
        <v>768538</v>
      </c>
      <c r="AS90" s="224">
        <v>183199</v>
      </c>
      <c r="AT90" s="224">
        <v>236847</v>
      </c>
      <c r="AU90" s="224">
        <v>379728</v>
      </c>
      <c r="AV90" s="224">
        <v>2512</v>
      </c>
      <c r="AW90" s="224">
        <v>115257</v>
      </c>
      <c r="AX90" s="224">
        <v>15513</v>
      </c>
      <c r="AY90" s="224">
        <v>150730</v>
      </c>
      <c r="AZ90" s="224">
        <v>14858</v>
      </c>
      <c r="BA90" s="224">
        <v>369157</v>
      </c>
      <c r="BB90" s="224">
        <v>394586</v>
      </c>
      <c r="BC90" s="225">
        <v>29123.64</v>
      </c>
      <c r="BD90" s="225">
        <v>18140.689999999999</v>
      </c>
      <c r="BE90">
        <v>346.37</v>
      </c>
      <c r="BF90" s="225">
        <v>1052.82</v>
      </c>
      <c r="BG90" s="224">
        <v>81077</v>
      </c>
      <c r="BH90">
        <v>0</v>
      </c>
      <c r="BI90" s="224">
        <v>37047</v>
      </c>
      <c r="BJ90" s="224">
        <v>72333</v>
      </c>
      <c r="BK90" s="224">
        <v>2498</v>
      </c>
      <c r="BL90" s="224">
        <v>23500</v>
      </c>
      <c r="BM90" s="224">
        <v>25000</v>
      </c>
      <c r="BN90" s="224">
        <v>1500</v>
      </c>
      <c r="BO90" s="224">
        <v>21500</v>
      </c>
      <c r="BP90" s="224">
        <v>3500</v>
      </c>
      <c r="BQ90">
        <v>78</v>
      </c>
      <c r="BR90">
        <v>8</v>
      </c>
      <c r="BS90">
        <v>16</v>
      </c>
      <c r="BT90">
        <v>50</v>
      </c>
      <c r="BU90">
        <v>44</v>
      </c>
      <c r="BV90">
        <v>80</v>
      </c>
      <c r="BW90" s="224">
        <v>17000</v>
      </c>
      <c r="BX90" s="224">
        <v>2100</v>
      </c>
      <c r="BY90" s="224">
        <v>1100</v>
      </c>
      <c r="BZ90" s="224">
        <v>4900</v>
      </c>
      <c r="CA90">
        <v>19.100000000000001</v>
      </c>
      <c r="CB90">
        <v>18.8</v>
      </c>
      <c r="CC90">
        <v>19.2</v>
      </c>
      <c r="CD90">
        <v>77.400000000000006</v>
      </c>
      <c r="CE90">
        <v>75.3</v>
      </c>
      <c r="CF90">
        <v>7.2</v>
      </c>
      <c r="CG90">
        <v>7.4</v>
      </c>
      <c r="CH90">
        <v>68.8</v>
      </c>
      <c r="CI90">
        <v>73.2</v>
      </c>
      <c r="CJ90">
        <v>66.400000000000006</v>
      </c>
      <c r="CK90" s="224">
        <v>3905</v>
      </c>
      <c r="CL90" s="224">
        <v>3805</v>
      </c>
    </row>
    <row r="91" spans="1:90" ht="14.5">
      <c r="A91" t="s">
        <v>341</v>
      </c>
      <c r="B91" t="s">
        <v>342</v>
      </c>
      <c r="C91" t="s">
        <v>343</v>
      </c>
      <c r="D91" s="224">
        <v>125368</v>
      </c>
      <c r="E91" s="224">
        <v>126954</v>
      </c>
      <c r="F91" s="224">
        <v>94337</v>
      </c>
      <c r="G91" s="224">
        <v>91651</v>
      </c>
      <c r="H91" s="224">
        <v>31031</v>
      </c>
      <c r="I91" s="224">
        <v>35303</v>
      </c>
      <c r="J91" s="224">
        <v>4001</v>
      </c>
      <c r="K91" s="224">
        <v>4806</v>
      </c>
      <c r="L91">
        <v>8.9</v>
      </c>
      <c r="M91">
        <v>76.8</v>
      </c>
      <c r="N91">
        <v>81.099999999999994</v>
      </c>
      <c r="O91">
        <v>54.7</v>
      </c>
      <c r="P91">
        <v>54.9</v>
      </c>
      <c r="Q91">
        <v>550</v>
      </c>
      <c r="R91">
        <v>500</v>
      </c>
      <c r="S91" s="224">
        <v>31990</v>
      </c>
      <c r="T91">
        <v>20.399999999999999</v>
      </c>
      <c r="U91" s="224">
        <v>10204</v>
      </c>
      <c r="V91">
        <v>6.5</v>
      </c>
      <c r="W91" s="224">
        <v>14053</v>
      </c>
      <c r="X91">
        <v>4</v>
      </c>
      <c r="Y91">
        <v>2.2000000000000002</v>
      </c>
      <c r="Z91">
        <v>3.3</v>
      </c>
      <c r="AA91" s="224">
        <v>1786</v>
      </c>
      <c r="AB91" s="224">
        <v>1874</v>
      </c>
      <c r="AC91" s="224">
        <v>2780</v>
      </c>
      <c r="AD91">
        <v>280</v>
      </c>
      <c r="AE91">
        <v>465</v>
      </c>
      <c r="AF91">
        <v>5</v>
      </c>
      <c r="AG91" t="s">
        <v>597</v>
      </c>
      <c r="AH91">
        <v>55</v>
      </c>
      <c r="AI91" s="224">
        <v>1050</v>
      </c>
      <c r="AJ91">
        <v>5</v>
      </c>
      <c r="AK91" t="s">
        <v>597</v>
      </c>
      <c r="AL91">
        <v>870</v>
      </c>
      <c r="AM91" s="224">
        <v>1910</v>
      </c>
      <c r="AN91">
        <v>57.5</v>
      </c>
      <c r="AO91" s="224">
        <v>76373</v>
      </c>
      <c r="AP91" s="224">
        <v>86620</v>
      </c>
      <c r="AQ91" s="224">
        <v>71930</v>
      </c>
      <c r="AR91" s="224">
        <v>152720</v>
      </c>
      <c r="AS91" s="224">
        <v>35908</v>
      </c>
      <c r="AT91" s="224">
        <v>30686</v>
      </c>
      <c r="AU91" s="224">
        <v>59881</v>
      </c>
      <c r="AV91" s="224">
        <v>1350</v>
      </c>
      <c r="AW91" s="224">
        <v>22200</v>
      </c>
      <c r="AX91" s="224">
        <v>2550</v>
      </c>
      <c r="AY91" s="224">
        <v>25840</v>
      </c>
      <c r="AZ91" s="224">
        <v>3186</v>
      </c>
      <c r="BA91" s="224">
        <v>58054</v>
      </c>
      <c r="BB91" s="224">
        <v>63067</v>
      </c>
      <c r="BC91" s="225">
        <v>36644.83</v>
      </c>
      <c r="BD91" s="225">
        <v>16327.75</v>
      </c>
      <c r="BE91">
        <v>406.52</v>
      </c>
      <c r="BF91">
        <v>941.45</v>
      </c>
      <c r="BG91" s="224">
        <v>14682</v>
      </c>
      <c r="BH91">
        <v>0</v>
      </c>
      <c r="BI91" s="224">
        <v>5871</v>
      </c>
      <c r="BJ91" s="224">
        <v>6373</v>
      </c>
      <c r="BK91">
        <v>214</v>
      </c>
      <c r="BL91" s="224">
        <v>4400</v>
      </c>
      <c r="BM91" s="224">
        <v>4800</v>
      </c>
      <c r="BN91">
        <v>275</v>
      </c>
      <c r="BO91" s="224">
        <v>4800</v>
      </c>
      <c r="BP91" t="s">
        <v>598</v>
      </c>
      <c r="BQ91">
        <v>87</v>
      </c>
      <c r="BR91">
        <v>2</v>
      </c>
      <c r="BS91">
        <v>5</v>
      </c>
      <c r="BT91">
        <v>50</v>
      </c>
      <c r="BU91">
        <v>44</v>
      </c>
      <c r="BV91">
        <v>93</v>
      </c>
      <c r="BW91" s="224">
        <v>3600</v>
      </c>
      <c r="BX91">
        <v>350</v>
      </c>
      <c r="BY91">
        <v>75</v>
      </c>
      <c r="BZ91">
        <v>750</v>
      </c>
      <c r="CA91">
        <v>19.100000000000001</v>
      </c>
      <c r="CB91">
        <v>20.100000000000001</v>
      </c>
      <c r="CC91">
        <v>18.5</v>
      </c>
      <c r="CD91">
        <v>75</v>
      </c>
      <c r="CE91">
        <v>74</v>
      </c>
      <c r="CF91">
        <v>7.4</v>
      </c>
      <c r="CG91">
        <v>7.6</v>
      </c>
      <c r="CH91">
        <v>65.7</v>
      </c>
      <c r="CI91">
        <v>65.8</v>
      </c>
      <c r="CJ91">
        <v>86.3</v>
      </c>
      <c r="CK91">
        <v>930</v>
      </c>
      <c r="CL91" s="224">
        <v>1145</v>
      </c>
    </row>
    <row r="92" spans="1:90" ht="14.5">
      <c r="A92" t="s">
        <v>344</v>
      </c>
      <c r="B92" t="s">
        <v>345</v>
      </c>
      <c r="C92" t="s">
        <v>346</v>
      </c>
      <c r="D92" s="224">
        <v>134271</v>
      </c>
      <c r="E92" s="224">
        <v>137440</v>
      </c>
      <c r="F92" s="224">
        <v>100226</v>
      </c>
      <c r="G92" s="224">
        <v>97386</v>
      </c>
      <c r="H92" s="224">
        <v>34045</v>
      </c>
      <c r="I92" s="224">
        <v>40054</v>
      </c>
      <c r="J92" s="224">
        <v>4143</v>
      </c>
      <c r="K92" s="224">
        <v>5133</v>
      </c>
      <c r="L92">
        <v>9.1</v>
      </c>
      <c r="M92">
        <v>77.599999999999994</v>
      </c>
      <c r="N92">
        <v>82.3</v>
      </c>
      <c r="O92">
        <v>58.7</v>
      </c>
      <c r="P92">
        <v>59.6</v>
      </c>
      <c r="Q92">
        <v>465</v>
      </c>
      <c r="R92">
        <v>410</v>
      </c>
      <c r="S92" s="224">
        <v>33343</v>
      </c>
      <c r="T92">
        <v>19.7</v>
      </c>
      <c r="U92" s="224">
        <v>10238</v>
      </c>
      <c r="V92">
        <v>6</v>
      </c>
      <c r="W92" s="224">
        <v>15430</v>
      </c>
      <c r="X92">
        <v>4.2</v>
      </c>
      <c r="Y92">
        <v>2.1</v>
      </c>
      <c r="Z92">
        <v>3.2</v>
      </c>
      <c r="AA92" s="224">
        <v>1956</v>
      </c>
      <c r="AB92" s="224">
        <v>1942</v>
      </c>
      <c r="AC92" s="224">
        <v>2525</v>
      </c>
      <c r="AD92">
        <v>400</v>
      </c>
      <c r="AE92">
        <v>240</v>
      </c>
      <c r="AF92" t="s">
        <v>597</v>
      </c>
      <c r="AG92" t="s">
        <v>597</v>
      </c>
      <c r="AH92">
        <v>160</v>
      </c>
      <c r="AI92">
        <v>690</v>
      </c>
      <c r="AJ92" t="s">
        <v>597</v>
      </c>
      <c r="AK92" t="s">
        <v>597</v>
      </c>
      <c r="AL92">
        <v>820</v>
      </c>
      <c r="AM92" s="224">
        <v>1705</v>
      </c>
      <c r="AN92">
        <v>67.3</v>
      </c>
      <c r="AO92" s="224">
        <v>88781</v>
      </c>
      <c r="AP92" s="224">
        <v>99383</v>
      </c>
      <c r="AQ92" s="224">
        <v>83679</v>
      </c>
      <c r="AR92" s="224">
        <v>181900</v>
      </c>
      <c r="AS92" s="224">
        <v>33071</v>
      </c>
      <c r="AT92" s="224">
        <v>36601</v>
      </c>
      <c r="AU92" s="224">
        <v>62373</v>
      </c>
      <c r="AV92" s="224">
        <v>1974</v>
      </c>
      <c r="AW92" s="224">
        <v>19227</v>
      </c>
      <c r="AX92" s="224">
        <v>10943</v>
      </c>
      <c r="AY92" s="224">
        <v>34398</v>
      </c>
      <c r="AZ92" s="224">
        <v>10261</v>
      </c>
      <c r="BA92" s="224">
        <v>61803</v>
      </c>
      <c r="BB92" s="224">
        <v>72634</v>
      </c>
      <c r="BC92" s="225">
        <v>36274.39</v>
      </c>
      <c r="BD92" s="225">
        <v>25154.84</v>
      </c>
      <c r="BE92">
        <v>359.86</v>
      </c>
      <c r="BF92" s="225">
        <v>1187</v>
      </c>
      <c r="BG92" s="224">
        <v>15716</v>
      </c>
      <c r="BH92">
        <v>0</v>
      </c>
      <c r="BI92" s="224">
        <v>9408</v>
      </c>
      <c r="BJ92" s="224">
        <v>10651</v>
      </c>
      <c r="BK92" s="224">
        <v>1589</v>
      </c>
      <c r="BL92" s="224">
        <v>3600</v>
      </c>
      <c r="BM92" s="224">
        <v>4100</v>
      </c>
      <c r="BN92">
        <v>100</v>
      </c>
      <c r="BO92" s="224">
        <v>3400</v>
      </c>
      <c r="BP92">
        <v>600</v>
      </c>
      <c r="BQ92">
        <v>86</v>
      </c>
      <c r="BR92">
        <v>3</v>
      </c>
      <c r="BS92">
        <v>8</v>
      </c>
      <c r="BT92">
        <v>50</v>
      </c>
      <c r="BU92">
        <v>44</v>
      </c>
      <c r="BV92">
        <v>87</v>
      </c>
      <c r="BW92" s="224">
        <v>3000</v>
      </c>
      <c r="BX92">
        <v>300</v>
      </c>
      <c r="BY92">
        <v>125</v>
      </c>
      <c r="BZ92">
        <v>650</v>
      </c>
      <c r="CA92">
        <v>19.5</v>
      </c>
      <c r="CB92">
        <v>20.6</v>
      </c>
      <c r="CC92">
        <v>18.8</v>
      </c>
      <c r="CD92">
        <v>77.5</v>
      </c>
      <c r="CE92">
        <v>72.900000000000006</v>
      </c>
      <c r="CF92">
        <v>7.5</v>
      </c>
      <c r="CG92">
        <v>7.8</v>
      </c>
      <c r="CH92">
        <v>72.2</v>
      </c>
      <c r="CI92">
        <v>69.3</v>
      </c>
      <c r="CJ92">
        <v>81.400000000000006</v>
      </c>
      <c r="CK92" s="224">
        <v>1015</v>
      </c>
      <c r="CL92">
        <v>780</v>
      </c>
    </row>
    <row r="93" spans="1:90" ht="14.5">
      <c r="A93" t="s">
        <v>347</v>
      </c>
      <c r="B93" t="s">
        <v>348</v>
      </c>
      <c r="C93" t="s">
        <v>349</v>
      </c>
      <c r="D93" s="224">
        <v>259912</v>
      </c>
      <c r="E93" s="224">
        <v>297097</v>
      </c>
      <c r="F93" s="224">
        <v>200846</v>
      </c>
      <c r="G93" s="224">
        <v>226512</v>
      </c>
      <c r="H93" s="224">
        <v>59066</v>
      </c>
      <c r="I93" s="224">
        <v>70585</v>
      </c>
      <c r="J93" s="224">
        <v>7328</v>
      </c>
      <c r="K93" s="224">
        <v>8416</v>
      </c>
      <c r="L93">
        <v>8</v>
      </c>
      <c r="M93">
        <v>78.8</v>
      </c>
      <c r="N93">
        <v>82.6</v>
      </c>
      <c r="O93">
        <v>58.7</v>
      </c>
      <c r="P93">
        <v>58.3</v>
      </c>
      <c r="Q93">
        <v>975</v>
      </c>
      <c r="R93">
        <v>855</v>
      </c>
      <c r="S93" s="224">
        <v>62313</v>
      </c>
      <c r="T93">
        <v>17.3</v>
      </c>
      <c r="U93" s="224">
        <v>17549</v>
      </c>
      <c r="V93">
        <v>4.9000000000000004</v>
      </c>
      <c r="W93" s="224">
        <v>28916</v>
      </c>
      <c r="X93">
        <v>4.0999999999999996</v>
      </c>
      <c r="Y93">
        <v>1.7</v>
      </c>
      <c r="Z93">
        <v>2.6</v>
      </c>
      <c r="AA93" s="224">
        <v>3322</v>
      </c>
      <c r="AB93" s="224">
        <v>3465</v>
      </c>
      <c r="AC93" s="224">
        <v>4850</v>
      </c>
      <c r="AD93">
        <v>570</v>
      </c>
      <c r="AE93" s="224">
        <v>1010</v>
      </c>
      <c r="AF93">
        <v>55</v>
      </c>
      <c r="AG93" t="s">
        <v>597</v>
      </c>
      <c r="AH93">
        <v>175</v>
      </c>
      <c r="AI93" s="224">
        <v>1420</v>
      </c>
      <c r="AJ93">
        <v>15</v>
      </c>
      <c r="AK93" t="s">
        <v>597</v>
      </c>
      <c r="AL93" s="224">
        <v>1870</v>
      </c>
      <c r="AM93" s="224">
        <v>2980</v>
      </c>
      <c r="AN93">
        <v>68.7</v>
      </c>
      <c r="AO93" s="224">
        <v>156462</v>
      </c>
      <c r="AP93" s="224">
        <v>174851</v>
      </c>
      <c r="AQ93" s="224">
        <v>173936</v>
      </c>
      <c r="AR93" s="224">
        <v>360413</v>
      </c>
      <c r="AS93" s="224">
        <v>87030</v>
      </c>
      <c r="AT93" s="224">
        <v>74108</v>
      </c>
      <c r="AU93" s="224">
        <v>144059</v>
      </c>
      <c r="AV93" s="224">
        <v>4899</v>
      </c>
      <c r="AW93" s="224">
        <v>61215</v>
      </c>
      <c r="AX93" s="224">
        <v>6118</v>
      </c>
      <c r="AY93" s="224">
        <v>31128</v>
      </c>
      <c r="AZ93" s="224">
        <v>10608</v>
      </c>
      <c r="BA93" s="224">
        <v>149960</v>
      </c>
      <c r="BB93" s="224">
        <v>154667</v>
      </c>
      <c r="BC93" s="225">
        <v>47160.959999999999</v>
      </c>
      <c r="BD93" s="225">
        <v>22307.38</v>
      </c>
      <c r="BE93">
        <v>405.85</v>
      </c>
      <c r="BF93" s="225">
        <v>1136.5899999999999</v>
      </c>
      <c r="BG93" s="224">
        <v>27816</v>
      </c>
      <c r="BH93">
        <v>0</v>
      </c>
      <c r="BI93" s="224">
        <v>13194</v>
      </c>
      <c r="BJ93" s="224">
        <v>24598</v>
      </c>
      <c r="BK93">
        <v>385</v>
      </c>
      <c r="BL93" s="224">
        <v>9100</v>
      </c>
      <c r="BM93" s="224">
        <v>10000</v>
      </c>
      <c r="BN93">
        <v>600</v>
      </c>
      <c r="BO93" s="224">
        <v>9300</v>
      </c>
      <c r="BP93">
        <v>700</v>
      </c>
      <c r="BQ93">
        <v>81</v>
      </c>
      <c r="BR93">
        <v>9</v>
      </c>
      <c r="BS93">
        <v>22</v>
      </c>
      <c r="BT93">
        <v>41</v>
      </c>
      <c r="BU93">
        <v>43</v>
      </c>
      <c r="BV93">
        <v>70</v>
      </c>
      <c r="BW93" s="224">
        <v>7500</v>
      </c>
      <c r="BX93">
        <v>900</v>
      </c>
      <c r="BY93">
        <v>300</v>
      </c>
      <c r="BZ93" s="224">
        <v>1300</v>
      </c>
      <c r="CA93">
        <v>19.3</v>
      </c>
      <c r="CB93">
        <v>19.399999999999999</v>
      </c>
      <c r="CC93">
        <v>19.2</v>
      </c>
      <c r="CD93">
        <v>80.8</v>
      </c>
      <c r="CE93">
        <v>78.099999999999994</v>
      </c>
      <c r="CF93">
        <v>7.8</v>
      </c>
      <c r="CG93">
        <v>8</v>
      </c>
      <c r="CH93">
        <v>70.400000000000006</v>
      </c>
      <c r="CI93">
        <v>77.400000000000006</v>
      </c>
      <c r="CJ93">
        <v>82.4</v>
      </c>
      <c r="CK93" s="224">
        <v>1730</v>
      </c>
      <c r="CL93" s="224">
        <v>1630</v>
      </c>
    </row>
    <row r="94" spans="1:90" ht="14.5">
      <c r="A94" t="s">
        <v>350</v>
      </c>
      <c r="B94" t="s">
        <v>351</v>
      </c>
      <c r="C94" t="s">
        <v>352</v>
      </c>
      <c r="D94" s="224">
        <v>168136</v>
      </c>
      <c r="E94" s="224">
        <v>183053</v>
      </c>
      <c r="F94" s="224">
        <v>119497</v>
      </c>
      <c r="G94" s="224">
        <v>127844</v>
      </c>
      <c r="H94" s="224">
        <v>48639</v>
      </c>
      <c r="I94" s="224">
        <v>55209</v>
      </c>
      <c r="J94" s="224">
        <v>6958</v>
      </c>
      <c r="K94" s="224">
        <v>8076</v>
      </c>
      <c r="L94">
        <v>8.6</v>
      </c>
      <c r="M94">
        <v>80.8</v>
      </c>
      <c r="N94">
        <v>84.2</v>
      </c>
      <c r="O94">
        <v>62.6</v>
      </c>
      <c r="P94">
        <v>62.4</v>
      </c>
      <c r="Q94">
        <v>580</v>
      </c>
      <c r="R94">
        <v>500</v>
      </c>
      <c r="S94" s="224">
        <v>40533</v>
      </c>
      <c r="T94">
        <v>18.7</v>
      </c>
      <c r="U94" s="224">
        <v>11419</v>
      </c>
      <c r="V94">
        <v>5.3</v>
      </c>
      <c r="W94" s="224">
        <v>18762</v>
      </c>
      <c r="X94">
        <v>4.9000000000000004</v>
      </c>
      <c r="Y94">
        <v>1.6</v>
      </c>
      <c r="Z94">
        <v>2.6</v>
      </c>
      <c r="AA94" s="224">
        <v>2848</v>
      </c>
      <c r="AB94" s="224">
        <v>2962</v>
      </c>
      <c r="AC94" s="224">
        <v>3395</v>
      </c>
      <c r="AD94">
        <v>260</v>
      </c>
      <c r="AE94" t="s">
        <v>597</v>
      </c>
      <c r="AF94">
        <v>625</v>
      </c>
      <c r="AG94" t="s">
        <v>597</v>
      </c>
      <c r="AH94">
        <v>85</v>
      </c>
      <c r="AI94" t="s">
        <v>597</v>
      </c>
      <c r="AJ94">
        <v>885</v>
      </c>
      <c r="AK94" t="s">
        <v>597</v>
      </c>
      <c r="AL94" s="224">
        <v>1140</v>
      </c>
      <c r="AM94" s="224">
        <v>2255</v>
      </c>
      <c r="AN94">
        <v>68.3</v>
      </c>
      <c r="AO94" s="224">
        <v>132650</v>
      </c>
      <c r="AP94" s="224">
        <v>140675</v>
      </c>
      <c r="AQ94" s="224">
        <v>113106</v>
      </c>
      <c r="AR94" s="224">
        <v>225215</v>
      </c>
      <c r="AS94" s="224">
        <v>57121</v>
      </c>
      <c r="AT94" s="224">
        <v>59218</v>
      </c>
      <c r="AU94" s="224">
        <v>108561</v>
      </c>
      <c r="AV94" s="224">
        <v>2048</v>
      </c>
      <c r="AW94" s="224">
        <v>37351</v>
      </c>
      <c r="AX94" s="224">
        <v>3149</v>
      </c>
      <c r="AY94" s="224">
        <v>41056</v>
      </c>
      <c r="AZ94" s="224">
        <v>6013</v>
      </c>
      <c r="BA94" s="224">
        <v>100550</v>
      </c>
      <c r="BB94" s="224">
        <v>114574</v>
      </c>
      <c r="BC94" s="225">
        <v>48939.47</v>
      </c>
      <c r="BD94" s="225">
        <v>26067.85</v>
      </c>
      <c r="BE94">
        <v>462.82</v>
      </c>
      <c r="BF94" s="225">
        <v>1129.6500000000001</v>
      </c>
      <c r="BG94" s="224">
        <v>28448</v>
      </c>
      <c r="BH94">
        <v>44</v>
      </c>
      <c r="BI94" s="224">
        <v>9861</v>
      </c>
      <c r="BJ94" s="224">
        <v>18497</v>
      </c>
      <c r="BK94" s="224">
        <v>1919</v>
      </c>
      <c r="BL94" s="224">
        <v>6200</v>
      </c>
      <c r="BM94" s="224">
        <v>6600</v>
      </c>
      <c r="BN94">
        <v>275</v>
      </c>
      <c r="BO94" s="224">
        <v>6300</v>
      </c>
      <c r="BP94">
        <v>375</v>
      </c>
      <c r="BQ94">
        <v>77</v>
      </c>
      <c r="BR94">
        <v>11</v>
      </c>
      <c r="BS94">
        <v>19</v>
      </c>
      <c r="BT94">
        <v>44</v>
      </c>
      <c r="BU94">
        <v>44</v>
      </c>
      <c r="BV94">
        <v>75</v>
      </c>
      <c r="BW94" s="224">
        <v>4500</v>
      </c>
      <c r="BX94">
        <v>550</v>
      </c>
      <c r="BY94">
        <v>400</v>
      </c>
      <c r="BZ94" s="224">
        <v>1200</v>
      </c>
      <c r="CA94">
        <v>19.399999999999999</v>
      </c>
      <c r="CB94">
        <v>19.600000000000001</v>
      </c>
      <c r="CC94">
        <v>19.2</v>
      </c>
      <c r="CD94">
        <v>78.3</v>
      </c>
      <c r="CE94">
        <v>75.2</v>
      </c>
      <c r="CF94">
        <v>7.2</v>
      </c>
      <c r="CG94">
        <v>7.3</v>
      </c>
      <c r="CH94">
        <v>72.5</v>
      </c>
      <c r="CI94">
        <v>76.099999999999994</v>
      </c>
      <c r="CJ94">
        <v>81.7</v>
      </c>
      <c r="CK94" s="224">
        <v>1825</v>
      </c>
      <c r="CL94" s="224">
        <v>1110</v>
      </c>
    </row>
    <row r="95" spans="1:90" ht="14.5">
      <c r="A95" t="s">
        <v>353</v>
      </c>
      <c r="B95" t="s">
        <v>354</v>
      </c>
      <c r="C95" t="s">
        <v>355</v>
      </c>
      <c r="D95" s="224">
        <v>162556</v>
      </c>
      <c r="E95" s="224">
        <v>173630</v>
      </c>
      <c r="F95" s="224">
        <v>123404</v>
      </c>
      <c r="G95" s="224">
        <v>127034</v>
      </c>
      <c r="H95" s="224">
        <v>39152</v>
      </c>
      <c r="I95" s="224">
        <v>46596</v>
      </c>
      <c r="J95" s="224">
        <v>5145</v>
      </c>
      <c r="K95" s="224">
        <v>5754</v>
      </c>
      <c r="L95">
        <v>9.4</v>
      </c>
      <c r="M95">
        <v>78.2</v>
      </c>
      <c r="N95">
        <v>82</v>
      </c>
      <c r="O95">
        <v>57.6</v>
      </c>
      <c r="P95">
        <v>57.4</v>
      </c>
      <c r="Q95">
        <v>745</v>
      </c>
      <c r="R95">
        <v>645</v>
      </c>
      <c r="S95" s="224">
        <v>41748</v>
      </c>
      <c r="T95">
        <v>20</v>
      </c>
      <c r="U95" s="224">
        <v>12994</v>
      </c>
      <c r="V95">
        <v>6.2</v>
      </c>
      <c r="W95" s="224">
        <v>19684</v>
      </c>
      <c r="X95">
        <v>4.8</v>
      </c>
      <c r="Y95">
        <v>2.1</v>
      </c>
      <c r="Z95">
        <v>3.1</v>
      </c>
      <c r="AA95" s="224">
        <v>1724</v>
      </c>
      <c r="AB95" s="224">
        <v>1766</v>
      </c>
      <c r="AC95" s="224">
        <v>4355</v>
      </c>
      <c r="AD95">
        <v>260</v>
      </c>
      <c r="AE95">
        <v>810</v>
      </c>
      <c r="AF95" t="s">
        <v>597</v>
      </c>
      <c r="AG95" t="s">
        <v>597</v>
      </c>
      <c r="AH95">
        <v>45</v>
      </c>
      <c r="AI95" s="224">
        <v>1725</v>
      </c>
      <c r="AJ95" t="s">
        <v>597</v>
      </c>
      <c r="AK95" t="s">
        <v>597</v>
      </c>
      <c r="AL95" s="224">
        <v>1205</v>
      </c>
      <c r="AM95" s="224">
        <v>3150</v>
      </c>
      <c r="AN95">
        <v>59.9</v>
      </c>
      <c r="AO95" s="224">
        <v>111308</v>
      </c>
      <c r="AP95" s="224">
        <v>119509</v>
      </c>
      <c r="AQ95" s="224">
        <v>96495</v>
      </c>
      <c r="AR95" s="224">
        <v>212422</v>
      </c>
      <c r="AS95" s="224">
        <v>41690</v>
      </c>
      <c r="AT95" s="224">
        <v>52420</v>
      </c>
      <c r="AU95" s="224">
        <v>88601</v>
      </c>
      <c r="AV95" s="224">
        <v>1615</v>
      </c>
      <c r="AW95" s="224">
        <v>30866</v>
      </c>
      <c r="AX95" s="224">
        <v>3872</v>
      </c>
      <c r="AY95" s="224">
        <v>34510</v>
      </c>
      <c r="AZ95" s="224">
        <v>4500</v>
      </c>
      <c r="BA95" s="224">
        <v>88080</v>
      </c>
      <c r="BB95" s="224">
        <v>93101</v>
      </c>
      <c r="BC95" s="225">
        <v>33346.89</v>
      </c>
      <c r="BD95" s="225">
        <v>16799.37</v>
      </c>
      <c r="BE95">
        <v>340.89</v>
      </c>
      <c r="BF95" s="225">
        <v>1208.0899999999999</v>
      </c>
      <c r="BG95" s="224">
        <v>23075</v>
      </c>
      <c r="BH95">
        <v>134</v>
      </c>
      <c r="BI95" s="224">
        <v>15788</v>
      </c>
      <c r="BJ95" s="224">
        <v>26208</v>
      </c>
      <c r="BK95">
        <v>644</v>
      </c>
      <c r="BL95" s="224">
        <v>5700</v>
      </c>
      <c r="BM95" s="224">
        <v>5900</v>
      </c>
      <c r="BN95">
        <v>375</v>
      </c>
      <c r="BO95" s="224">
        <v>5400</v>
      </c>
      <c r="BP95">
        <v>500</v>
      </c>
      <c r="BQ95">
        <v>79</v>
      </c>
      <c r="BR95">
        <v>2</v>
      </c>
      <c r="BS95">
        <v>14</v>
      </c>
      <c r="BT95">
        <v>41</v>
      </c>
      <c r="BU95">
        <v>45</v>
      </c>
      <c r="BV95">
        <v>82</v>
      </c>
      <c r="BW95" s="224">
        <v>4500</v>
      </c>
      <c r="BX95">
        <v>425</v>
      </c>
      <c r="BY95">
        <v>250</v>
      </c>
      <c r="BZ95">
        <v>800</v>
      </c>
      <c r="CA95">
        <v>18.399999999999999</v>
      </c>
      <c r="CB95">
        <v>20.100000000000001</v>
      </c>
      <c r="CC95">
        <v>17.600000000000001</v>
      </c>
      <c r="CD95">
        <v>72.900000000000006</v>
      </c>
      <c r="CE95">
        <v>64</v>
      </c>
      <c r="CF95">
        <v>7</v>
      </c>
      <c r="CG95">
        <v>7.2</v>
      </c>
      <c r="CH95">
        <v>68.7</v>
      </c>
      <c r="CI95">
        <v>67.400000000000006</v>
      </c>
      <c r="CJ95">
        <v>82.9</v>
      </c>
      <c r="CK95" s="224">
        <v>1715</v>
      </c>
      <c r="CL95" s="224">
        <v>2220</v>
      </c>
    </row>
    <row r="96" spans="1:90" ht="14.5">
      <c r="A96" t="s">
        <v>356</v>
      </c>
      <c r="B96" t="s">
        <v>357</v>
      </c>
      <c r="C96" t="s">
        <v>358</v>
      </c>
      <c r="D96" s="224">
        <v>487407</v>
      </c>
      <c r="E96" s="224">
        <v>524485</v>
      </c>
      <c r="F96" s="224">
        <v>347884</v>
      </c>
      <c r="G96" s="224">
        <v>354097</v>
      </c>
      <c r="H96" s="224">
        <v>139523</v>
      </c>
      <c r="I96" s="224">
        <v>170388</v>
      </c>
      <c r="J96" s="224">
        <v>18247</v>
      </c>
      <c r="K96" s="224">
        <v>22958</v>
      </c>
      <c r="L96">
        <v>8.6999999999999993</v>
      </c>
      <c r="M96">
        <v>80.400000000000006</v>
      </c>
      <c r="N96">
        <v>84.1</v>
      </c>
      <c r="O96">
        <v>64.5</v>
      </c>
      <c r="P96">
        <v>65.400000000000006</v>
      </c>
      <c r="Q96" s="225">
        <v>1605</v>
      </c>
      <c r="R96" s="224">
        <v>1350</v>
      </c>
      <c r="S96" s="224">
        <v>107986</v>
      </c>
      <c r="T96">
        <v>17.5</v>
      </c>
      <c r="U96" s="224">
        <v>28669</v>
      </c>
      <c r="V96">
        <v>4.7</v>
      </c>
      <c r="W96" s="224">
        <v>53723</v>
      </c>
      <c r="X96">
        <v>5</v>
      </c>
      <c r="Y96">
        <v>1.6</v>
      </c>
      <c r="Z96">
        <v>2.6</v>
      </c>
      <c r="AA96" s="224">
        <v>6787</v>
      </c>
      <c r="AB96" s="224">
        <v>7407</v>
      </c>
      <c r="AC96" s="224">
        <v>9360</v>
      </c>
      <c r="AD96">
        <v>840</v>
      </c>
      <c r="AE96" s="224">
        <v>1340</v>
      </c>
      <c r="AF96">
        <v>55</v>
      </c>
      <c r="AG96" t="s">
        <v>597</v>
      </c>
      <c r="AH96">
        <v>345</v>
      </c>
      <c r="AI96" s="224">
        <v>3210</v>
      </c>
      <c r="AJ96">
        <v>25</v>
      </c>
      <c r="AK96" t="s">
        <v>597</v>
      </c>
      <c r="AL96" s="224">
        <v>2670</v>
      </c>
      <c r="AM96" s="224">
        <v>6690</v>
      </c>
      <c r="AN96">
        <v>70</v>
      </c>
      <c r="AO96" s="224">
        <v>381116</v>
      </c>
      <c r="AP96" s="224">
        <v>405804</v>
      </c>
      <c r="AQ96" s="224">
        <v>322286</v>
      </c>
      <c r="AR96" s="224">
        <v>619206</v>
      </c>
      <c r="AS96" s="224">
        <v>98740</v>
      </c>
      <c r="AT96" s="224">
        <v>226033</v>
      </c>
      <c r="AU96" s="224">
        <v>283274</v>
      </c>
      <c r="AV96" s="224">
        <v>1637</v>
      </c>
      <c r="AW96" s="224">
        <v>64020</v>
      </c>
      <c r="AX96" s="224">
        <v>14695</v>
      </c>
      <c r="AY96" s="224">
        <v>159264</v>
      </c>
      <c r="AZ96" s="224">
        <v>14810</v>
      </c>
      <c r="BA96" s="224">
        <v>254847</v>
      </c>
      <c r="BB96" s="224">
        <v>298084</v>
      </c>
      <c r="BC96" s="225">
        <v>31416.48</v>
      </c>
      <c r="BD96" s="225">
        <v>32018.240000000002</v>
      </c>
      <c r="BE96">
        <v>283.47000000000003</v>
      </c>
      <c r="BF96" s="225">
        <v>1412.82</v>
      </c>
      <c r="BG96" s="224">
        <v>87684</v>
      </c>
      <c r="BH96">
        <v>0</v>
      </c>
      <c r="BI96" s="224">
        <v>19756</v>
      </c>
      <c r="BJ96" s="224">
        <v>89100</v>
      </c>
      <c r="BK96" s="224">
        <v>2405</v>
      </c>
      <c r="BL96" s="224">
        <v>16000</v>
      </c>
      <c r="BM96" s="224">
        <v>17000</v>
      </c>
      <c r="BN96" s="224">
        <v>1200</v>
      </c>
      <c r="BO96" s="224">
        <v>15000</v>
      </c>
      <c r="BP96" s="224">
        <v>2200</v>
      </c>
      <c r="BQ96">
        <v>78</v>
      </c>
      <c r="BR96">
        <v>4</v>
      </c>
      <c r="BS96">
        <v>18</v>
      </c>
      <c r="BT96">
        <v>41</v>
      </c>
      <c r="BU96">
        <v>44</v>
      </c>
      <c r="BV96">
        <v>80</v>
      </c>
      <c r="BW96" s="224">
        <v>12000</v>
      </c>
      <c r="BX96" s="224">
        <v>1900</v>
      </c>
      <c r="BY96">
        <v>900</v>
      </c>
      <c r="BZ96" s="224">
        <v>2500</v>
      </c>
      <c r="CA96">
        <v>19.3</v>
      </c>
      <c r="CB96">
        <v>19.8</v>
      </c>
      <c r="CC96">
        <v>19</v>
      </c>
      <c r="CD96">
        <v>76.599999999999994</v>
      </c>
      <c r="CE96">
        <v>72.8</v>
      </c>
      <c r="CF96">
        <v>7.5</v>
      </c>
      <c r="CG96">
        <v>7.8</v>
      </c>
      <c r="CH96">
        <v>73.7</v>
      </c>
      <c r="CI96">
        <v>73.400000000000006</v>
      </c>
      <c r="CJ96">
        <v>83.1</v>
      </c>
      <c r="CK96" s="224">
        <v>3415</v>
      </c>
      <c r="CL96" s="224">
        <v>3835</v>
      </c>
    </row>
    <row r="97" spans="1:90" ht="14.5">
      <c r="A97" t="s">
        <v>359</v>
      </c>
      <c r="B97" t="s">
        <v>360</v>
      </c>
      <c r="C97" t="s">
        <v>361</v>
      </c>
      <c r="D97" s="224">
        <v>255091</v>
      </c>
      <c r="E97" s="224">
        <v>275182</v>
      </c>
      <c r="F97" s="224">
        <v>182762</v>
      </c>
      <c r="G97" s="224">
        <v>184272</v>
      </c>
      <c r="H97" s="224">
        <v>72329</v>
      </c>
      <c r="I97" s="224">
        <v>90910</v>
      </c>
      <c r="J97" s="224">
        <v>8709</v>
      </c>
      <c r="K97" s="224">
        <v>10886</v>
      </c>
      <c r="L97">
        <v>9.6999999999999993</v>
      </c>
      <c r="M97">
        <v>79.099999999999994</v>
      </c>
      <c r="N97">
        <v>83.2</v>
      </c>
      <c r="O97">
        <v>59.8</v>
      </c>
      <c r="P97">
        <v>59.9</v>
      </c>
      <c r="Q97" s="225">
        <v>1155</v>
      </c>
      <c r="R97">
        <v>990</v>
      </c>
      <c r="S97" s="224">
        <v>67190</v>
      </c>
      <c r="T97">
        <v>21</v>
      </c>
      <c r="U97" s="224">
        <v>19944</v>
      </c>
      <c r="V97">
        <v>6.2</v>
      </c>
      <c r="W97" s="224">
        <v>31116</v>
      </c>
      <c r="X97">
        <v>4.8</v>
      </c>
      <c r="Y97">
        <v>2.1</v>
      </c>
      <c r="Z97">
        <v>3.3</v>
      </c>
      <c r="AA97" s="224">
        <v>3467</v>
      </c>
      <c r="AB97" s="224">
        <v>3499</v>
      </c>
      <c r="AC97" s="224">
        <v>6515</v>
      </c>
      <c r="AD97">
        <v>560</v>
      </c>
      <c r="AE97" s="224">
        <v>1185</v>
      </c>
      <c r="AF97">
        <v>35</v>
      </c>
      <c r="AG97">
        <v>90</v>
      </c>
      <c r="AH97">
        <v>140</v>
      </c>
      <c r="AI97" s="224">
        <v>2190</v>
      </c>
      <c r="AJ97">
        <v>170</v>
      </c>
      <c r="AK97">
        <v>140</v>
      </c>
      <c r="AL97" s="224">
        <v>2030</v>
      </c>
      <c r="AM97" s="224">
        <v>4485</v>
      </c>
      <c r="AN97">
        <v>66.099999999999994</v>
      </c>
      <c r="AO97" s="224">
        <v>186775</v>
      </c>
      <c r="AP97" s="224">
        <v>209733</v>
      </c>
      <c r="AQ97" s="224">
        <v>164972</v>
      </c>
      <c r="AR97" s="224">
        <v>397227</v>
      </c>
      <c r="AS97" s="224">
        <v>81432</v>
      </c>
      <c r="AT97" s="224">
        <v>111681</v>
      </c>
      <c r="AU97" s="224">
        <v>174764</v>
      </c>
      <c r="AV97">
        <v>91</v>
      </c>
      <c r="AW97" s="224">
        <v>52438</v>
      </c>
      <c r="AX97" s="224">
        <v>1546</v>
      </c>
      <c r="AY97" s="224">
        <v>49371</v>
      </c>
      <c r="AZ97" s="224">
        <v>1320</v>
      </c>
      <c r="BA97" s="224">
        <v>161343</v>
      </c>
      <c r="BB97" s="224">
        <v>176084</v>
      </c>
      <c r="BC97" s="225">
        <v>35681.279999999999</v>
      </c>
      <c r="BD97" s="225">
        <v>23110.59</v>
      </c>
      <c r="BE97">
        <v>442.41</v>
      </c>
      <c r="BF97" s="225">
        <v>1245.48</v>
      </c>
      <c r="BG97" s="224">
        <v>42104</v>
      </c>
      <c r="BH97">
        <v>0</v>
      </c>
      <c r="BI97" s="224">
        <v>20406</v>
      </c>
      <c r="BJ97" s="224">
        <v>40182</v>
      </c>
      <c r="BK97" s="224">
        <v>2319</v>
      </c>
      <c r="BL97" s="224">
        <v>8300</v>
      </c>
      <c r="BM97" s="224">
        <v>8800</v>
      </c>
      <c r="BN97">
        <v>450</v>
      </c>
      <c r="BO97" s="224">
        <v>7700</v>
      </c>
      <c r="BP97" s="224">
        <v>1100</v>
      </c>
      <c r="BQ97">
        <v>81</v>
      </c>
      <c r="BR97">
        <v>1</v>
      </c>
      <c r="BS97">
        <v>11</v>
      </c>
      <c r="BT97">
        <v>38</v>
      </c>
      <c r="BU97">
        <v>45</v>
      </c>
      <c r="BV97">
        <v>86</v>
      </c>
      <c r="BW97" s="224">
        <v>6200</v>
      </c>
      <c r="BX97">
        <v>700</v>
      </c>
      <c r="BY97">
        <v>450</v>
      </c>
      <c r="BZ97" s="224">
        <v>1500</v>
      </c>
      <c r="CA97">
        <v>19.100000000000001</v>
      </c>
      <c r="CB97">
        <v>19.5</v>
      </c>
      <c r="CC97">
        <v>18.899999999999999</v>
      </c>
      <c r="CD97">
        <v>80.099999999999994</v>
      </c>
      <c r="CE97">
        <v>78.3</v>
      </c>
      <c r="CF97">
        <v>8.5</v>
      </c>
      <c r="CG97">
        <v>8.5</v>
      </c>
      <c r="CH97">
        <v>73.599999999999994</v>
      </c>
      <c r="CI97">
        <v>75.2</v>
      </c>
      <c r="CJ97">
        <v>81.7</v>
      </c>
      <c r="CK97" s="224">
        <v>2010</v>
      </c>
      <c r="CL97" s="224">
        <v>2530</v>
      </c>
    </row>
    <row r="98" spans="1:90" ht="14.5">
      <c r="A98" t="s">
        <v>362</v>
      </c>
      <c r="B98" t="s">
        <v>363</v>
      </c>
      <c r="C98" t="s">
        <v>364</v>
      </c>
      <c r="D98" s="224">
        <v>248575</v>
      </c>
      <c r="E98" s="224">
        <v>260207</v>
      </c>
      <c r="F98" s="224">
        <v>211721</v>
      </c>
      <c r="G98" s="224">
        <v>220387</v>
      </c>
      <c r="H98" s="224">
        <v>36854</v>
      </c>
      <c r="I98" s="224">
        <v>39820</v>
      </c>
      <c r="J98" s="224">
        <v>5293</v>
      </c>
      <c r="K98" s="224">
        <v>5142</v>
      </c>
      <c r="L98">
        <v>7.6</v>
      </c>
      <c r="M98">
        <v>76.400000000000006</v>
      </c>
      <c r="N98">
        <v>80.8</v>
      </c>
      <c r="O98">
        <v>55.6</v>
      </c>
      <c r="P98">
        <v>55.3</v>
      </c>
      <c r="Q98" s="225">
        <v>1025</v>
      </c>
      <c r="R98">
        <v>900</v>
      </c>
      <c r="S98" s="224">
        <v>60218</v>
      </c>
      <c r="T98">
        <v>18.600000000000001</v>
      </c>
      <c r="U98" s="224">
        <v>19521</v>
      </c>
      <c r="V98">
        <v>6</v>
      </c>
      <c r="W98" s="224">
        <v>24346</v>
      </c>
      <c r="X98">
        <v>3.5</v>
      </c>
      <c r="Y98">
        <v>2</v>
      </c>
      <c r="Z98">
        <v>2.5</v>
      </c>
      <c r="AA98" s="224">
        <v>2008</v>
      </c>
      <c r="AB98" s="224">
        <v>2014</v>
      </c>
      <c r="AC98" s="224">
        <v>6270</v>
      </c>
      <c r="AD98">
        <v>740</v>
      </c>
      <c r="AE98" s="224">
        <v>1595</v>
      </c>
      <c r="AF98" t="s">
        <v>597</v>
      </c>
      <c r="AG98" t="s">
        <v>597</v>
      </c>
      <c r="AH98">
        <v>290</v>
      </c>
      <c r="AI98" s="224">
        <v>2130</v>
      </c>
      <c r="AJ98" t="s">
        <v>597</v>
      </c>
      <c r="AK98" t="s">
        <v>597</v>
      </c>
      <c r="AL98" s="224">
        <v>2810</v>
      </c>
      <c r="AM98" s="224">
        <v>3460</v>
      </c>
      <c r="AN98">
        <v>60.4</v>
      </c>
      <c r="AO98" s="224">
        <v>174830</v>
      </c>
      <c r="AP98" s="224">
        <v>168324</v>
      </c>
      <c r="AQ98" s="224">
        <v>149403</v>
      </c>
      <c r="AR98" s="224">
        <v>270686</v>
      </c>
      <c r="AS98" s="224">
        <v>77261</v>
      </c>
      <c r="AT98" s="224">
        <v>64418</v>
      </c>
      <c r="AU98" s="224">
        <v>147546</v>
      </c>
      <c r="AV98" s="224">
        <v>3349</v>
      </c>
      <c r="AW98" s="224">
        <v>46908</v>
      </c>
      <c r="AX98" s="224">
        <v>2709</v>
      </c>
      <c r="AY98" s="224">
        <v>48965</v>
      </c>
      <c r="AZ98" s="224">
        <v>8232</v>
      </c>
      <c r="BA98" s="224">
        <v>139223</v>
      </c>
      <c r="BB98" s="224">
        <v>155778</v>
      </c>
      <c r="BC98" s="225">
        <v>29846.62</v>
      </c>
      <c r="BD98" s="225">
        <v>20782.95</v>
      </c>
      <c r="BE98">
        <v>365.77</v>
      </c>
      <c r="BF98" s="225">
        <v>1685.76</v>
      </c>
      <c r="BG98" s="224">
        <v>23122</v>
      </c>
      <c r="BH98">
        <v>0</v>
      </c>
      <c r="BI98" s="224">
        <v>17882</v>
      </c>
      <c r="BJ98" s="224">
        <v>19267</v>
      </c>
      <c r="BK98" s="224">
        <v>1099</v>
      </c>
      <c r="BL98" s="224">
        <v>10000</v>
      </c>
      <c r="BM98" s="224">
        <v>11000</v>
      </c>
      <c r="BN98" s="224">
        <v>1300</v>
      </c>
      <c r="BO98" s="224">
        <v>9800</v>
      </c>
      <c r="BP98" s="224">
        <v>1100</v>
      </c>
      <c r="BQ98">
        <v>75</v>
      </c>
      <c r="BR98">
        <v>5</v>
      </c>
      <c r="BS98">
        <v>33</v>
      </c>
      <c r="BT98">
        <v>34</v>
      </c>
      <c r="BU98">
        <v>43</v>
      </c>
      <c r="BV98">
        <v>52</v>
      </c>
      <c r="BW98" s="224">
        <v>8600</v>
      </c>
      <c r="BX98">
        <v>950</v>
      </c>
      <c r="BY98">
        <v>350</v>
      </c>
      <c r="BZ98" s="224">
        <v>1000</v>
      </c>
      <c r="CA98">
        <v>18.5</v>
      </c>
      <c r="CB98">
        <v>18.3</v>
      </c>
      <c r="CC98">
        <v>18.7</v>
      </c>
      <c r="CD98">
        <v>74.400000000000006</v>
      </c>
      <c r="CE98">
        <v>73.099999999999994</v>
      </c>
      <c r="CF98">
        <v>7.3</v>
      </c>
      <c r="CG98">
        <v>7.4</v>
      </c>
      <c r="CH98">
        <v>63.1</v>
      </c>
      <c r="CI98">
        <v>67.3</v>
      </c>
      <c r="CJ98">
        <v>70.8</v>
      </c>
      <c r="CK98" s="224">
        <v>2060</v>
      </c>
      <c r="CL98" s="224">
        <v>1745</v>
      </c>
    </row>
    <row r="99" spans="1:90" ht="14.5">
      <c r="A99" t="s">
        <v>365</v>
      </c>
      <c r="B99" t="s">
        <v>366</v>
      </c>
      <c r="C99" t="s">
        <v>367</v>
      </c>
      <c r="D99" s="224">
        <v>641391</v>
      </c>
      <c r="E99" s="224">
        <v>692001</v>
      </c>
      <c r="F99" s="224">
        <v>480134</v>
      </c>
      <c r="G99" s="224">
        <v>503149</v>
      </c>
      <c r="H99" s="224">
        <v>161257</v>
      </c>
      <c r="I99" s="224">
        <v>188852</v>
      </c>
      <c r="J99" s="224">
        <v>19937</v>
      </c>
      <c r="K99" s="224">
        <v>25032</v>
      </c>
      <c r="L99">
        <v>9.9</v>
      </c>
      <c r="M99">
        <v>79.099999999999994</v>
      </c>
      <c r="N99">
        <v>83.2</v>
      </c>
      <c r="O99">
        <v>58.9</v>
      </c>
      <c r="P99">
        <v>58.7</v>
      </c>
      <c r="Q99" s="225">
        <v>2405</v>
      </c>
      <c r="R99" s="224">
        <v>2135</v>
      </c>
      <c r="S99" s="224">
        <v>162728</v>
      </c>
      <c r="T99">
        <v>19.7</v>
      </c>
      <c r="U99" s="224">
        <v>48045</v>
      </c>
      <c r="V99">
        <v>5.8</v>
      </c>
      <c r="W99" s="224">
        <v>82175</v>
      </c>
      <c r="X99">
        <v>5.3</v>
      </c>
      <c r="Y99">
        <v>2</v>
      </c>
      <c r="Z99">
        <v>3.1</v>
      </c>
      <c r="AA99" s="224">
        <v>8906</v>
      </c>
      <c r="AB99" s="224">
        <v>9181</v>
      </c>
      <c r="AC99" s="224">
        <v>12730</v>
      </c>
      <c r="AD99" s="224">
        <v>1625</v>
      </c>
      <c r="AE99" s="224">
        <v>1910</v>
      </c>
      <c r="AF99" t="s">
        <v>597</v>
      </c>
      <c r="AG99" t="s">
        <v>597</v>
      </c>
      <c r="AH99" s="224">
        <v>1495</v>
      </c>
      <c r="AI99" s="224">
        <v>3560</v>
      </c>
      <c r="AJ99" t="s">
        <v>597</v>
      </c>
      <c r="AK99">
        <v>5</v>
      </c>
      <c r="AL99" s="224">
        <v>4335</v>
      </c>
      <c r="AM99" s="224">
        <v>8395</v>
      </c>
      <c r="AN99">
        <v>64.7</v>
      </c>
      <c r="AO99" s="224">
        <v>453902</v>
      </c>
      <c r="AP99" s="224">
        <v>459508</v>
      </c>
      <c r="AQ99" s="224">
        <v>432810</v>
      </c>
      <c r="AR99" s="224">
        <v>707793</v>
      </c>
      <c r="AS99" s="224">
        <v>189038</v>
      </c>
      <c r="AT99" s="224">
        <v>179941</v>
      </c>
      <c r="AU99" s="224">
        <v>335420</v>
      </c>
      <c r="AV99" s="224">
        <v>1432</v>
      </c>
      <c r="AW99" s="224">
        <v>113434</v>
      </c>
      <c r="AX99" s="224">
        <v>1701</v>
      </c>
      <c r="AY99" s="224">
        <v>114986</v>
      </c>
      <c r="AZ99" s="224">
        <v>22214</v>
      </c>
      <c r="BA99" s="224">
        <v>306695</v>
      </c>
      <c r="BB99" s="224">
        <v>357634</v>
      </c>
      <c r="BC99" s="225">
        <v>39549.019999999997</v>
      </c>
      <c r="BD99" s="225">
        <v>22178.560000000001</v>
      </c>
      <c r="BE99">
        <v>378.56</v>
      </c>
      <c r="BF99">
        <v>961.82</v>
      </c>
      <c r="BG99" s="224">
        <v>28609</v>
      </c>
      <c r="BH99">
        <v>0</v>
      </c>
      <c r="BI99" s="224">
        <v>-65535</v>
      </c>
      <c r="BJ99" s="224">
        <v>-65535</v>
      </c>
      <c r="BK99">
        <v>88</v>
      </c>
      <c r="BL99" s="224">
        <v>23000</v>
      </c>
      <c r="BM99" s="224">
        <v>25000</v>
      </c>
      <c r="BN99" s="224">
        <v>2000</v>
      </c>
      <c r="BO99" s="224">
        <v>23000</v>
      </c>
      <c r="BP99" s="224">
        <v>2000</v>
      </c>
      <c r="BQ99">
        <v>80</v>
      </c>
      <c r="BR99">
        <v>4</v>
      </c>
      <c r="BS99">
        <v>21</v>
      </c>
      <c r="BT99">
        <v>42</v>
      </c>
      <c r="BU99">
        <v>42</v>
      </c>
      <c r="BV99">
        <v>73</v>
      </c>
      <c r="BW99" s="224">
        <v>18500</v>
      </c>
      <c r="BX99" s="224">
        <v>1900</v>
      </c>
      <c r="BY99" s="224">
        <v>1100</v>
      </c>
      <c r="BZ99" s="224">
        <v>3700</v>
      </c>
      <c r="CA99">
        <v>18.899999999999999</v>
      </c>
      <c r="CB99">
        <v>19.8</v>
      </c>
      <c r="CC99">
        <v>18.2</v>
      </c>
      <c r="CD99">
        <v>77</v>
      </c>
      <c r="CE99">
        <v>69</v>
      </c>
      <c r="CF99">
        <v>6.8</v>
      </c>
      <c r="CG99">
        <v>7</v>
      </c>
      <c r="CH99">
        <v>67.400000000000006</v>
      </c>
      <c r="CI99">
        <v>67.5</v>
      </c>
      <c r="CJ99">
        <v>82.6</v>
      </c>
      <c r="CK99" s="224">
        <v>4145</v>
      </c>
      <c r="CL99" s="224">
        <v>3625</v>
      </c>
    </row>
    <row r="100" spans="1:90" ht="14.5">
      <c r="A100" t="s">
        <v>368</v>
      </c>
      <c r="B100" t="s">
        <v>369</v>
      </c>
      <c r="C100" t="s">
        <v>370</v>
      </c>
      <c r="D100" s="224">
        <v>173214</v>
      </c>
      <c r="E100" s="224">
        <v>188704</v>
      </c>
      <c r="F100" s="224">
        <v>136830</v>
      </c>
      <c r="G100" s="224">
        <v>148441</v>
      </c>
      <c r="H100" s="224">
        <v>36384</v>
      </c>
      <c r="I100" s="224">
        <v>40263</v>
      </c>
      <c r="J100" s="224">
        <v>4132</v>
      </c>
      <c r="K100" s="224">
        <v>4860</v>
      </c>
      <c r="L100">
        <v>8.5</v>
      </c>
      <c r="M100">
        <v>77.3</v>
      </c>
      <c r="N100">
        <v>81.3</v>
      </c>
      <c r="O100">
        <v>56.1</v>
      </c>
      <c r="P100">
        <v>56.7</v>
      </c>
      <c r="Q100">
        <v>835</v>
      </c>
      <c r="R100">
        <v>760</v>
      </c>
      <c r="S100" s="224">
        <v>44249</v>
      </c>
      <c r="T100">
        <v>18.3</v>
      </c>
      <c r="U100" s="224">
        <v>15196</v>
      </c>
      <c r="V100">
        <v>6.3</v>
      </c>
      <c r="W100" s="224">
        <v>20686</v>
      </c>
      <c r="X100">
        <v>3.9</v>
      </c>
      <c r="Y100">
        <v>2.2000000000000002</v>
      </c>
      <c r="Z100">
        <v>3</v>
      </c>
      <c r="AA100" s="224">
        <v>1604</v>
      </c>
      <c r="AB100" s="224">
        <v>1659</v>
      </c>
      <c r="AC100" s="224">
        <v>4185</v>
      </c>
      <c r="AD100">
        <v>850</v>
      </c>
      <c r="AE100">
        <v>670</v>
      </c>
      <c r="AF100" t="s">
        <v>597</v>
      </c>
      <c r="AG100" t="s">
        <v>597</v>
      </c>
      <c r="AH100">
        <v>220</v>
      </c>
      <c r="AI100" s="224">
        <v>1305</v>
      </c>
      <c r="AJ100" t="s">
        <v>597</v>
      </c>
      <c r="AK100" t="s">
        <v>597</v>
      </c>
      <c r="AL100" s="224">
        <v>1665</v>
      </c>
      <c r="AM100" s="224">
        <v>2520</v>
      </c>
      <c r="AN100">
        <v>61.8</v>
      </c>
      <c r="AO100" s="224">
        <v>127050</v>
      </c>
      <c r="AP100" s="224">
        <v>120346</v>
      </c>
      <c r="AQ100" s="224">
        <v>99296</v>
      </c>
      <c r="AR100" s="224">
        <v>252164</v>
      </c>
      <c r="AS100" s="224">
        <v>50518</v>
      </c>
      <c r="AT100" s="224">
        <v>50513</v>
      </c>
      <c r="AU100" s="224">
        <v>100610</v>
      </c>
      <c r="AV100" s="224">
        <v>1935</v>
      </c>
      <c r="AW100" s="224">
        <v>32927</v>
      </c>
      <c r="AX100" s="224">
        <v>2942</v>
      </c>
      <c r="AY100" s="224">
        <v>37756</v>
      </c>
      <c r="AZ100" s="224">
        <v>5107</v>
      </c>
      <c r="BA100" s="224">
        <v>92582</v>
      </c>
      <c r="BB100" s="224">
        <v>105717</v>
      </c>
      <c r="BC100" s="225">
        <v>32518.32</v>
      </c>
      <c r="BD100" s="225">
        <v>20465.87</v>
      </c>
      <c r="BE100">
        <v>353.36</v>
      </c>
      <c r="BF100" s="225">
        <v>1327.65</v>
      </c>
      <c r="BG100" s="224">
        <v>25733</v>
      </c>
      <c r="BH100">
        <v>0</v>
      </c>
      <c r="BI100" s="224">
        <v>16578</v>
      </c>
      <c r="BJ100" s="224">
        <v>30412</v>
      </c>
      <c r="BK100" s="224">
        <v>1242</v>
      </c>
      <c r="BL100" s="224">
        <v>5400</v>
      </c>
      <c r="BM100" s="224">
        <v>6000</v>
      </c>
      <c r="BN100">
        <v>150</v>
      </c>
      <c r="BO100" s="224">
        <v>5800</v>
      </c>
      <c r="BP100">
        <v>225</v>
      </c>
      <c r="BQ100">
        <v>78</v>
      </c>
      <c r="BR100">
        <v>4</v>
      </c>
      <c r="BS100">
        <v>16</v>
      </c>
      <c r="BT100">
        <v>49</v>
      </c>
      <c r="BU100">
        <v>44</v>
      </c>
      <c r="BV100">
        <v>73</v>
      </c>
      <c r="BW100" s="224">
        <v>4600</v>
      </c>
      <c r="BX100">
        <v>475</v>
      </c>
      <c r="BY100">
        <v>175</v>
      </c>
      <c r="BZ100">
        <v>800</v>
      </c>
      <c r="CA100">
        <v>18.3</v>
      </c>
      <c r="CB100">
        <v>18.600000000000001</v>
      </c>
      <c r="CC100">
        <v>18.100000000000001</v>
      </c>
      <c r="CD100">
        <v>72</v>
      </c>
      <c r="CE100">
        <v>71</v>
      </c>
      <c r="CF100">
        <v>6.7</v>
      </c>
      <c r="CG100">
        <v>6.9</v>
      </c>
      <c r="CH100">
        <v>65.599999999999994</v>
      </c>
      <c r="CI100">
        <v>71.099999999999994</v>
      </c>
      <c r="CJ100">
        <v>85</v>
      </c>
      <c r="CK100" s="224">
        <v>2825</v>
      </c>
      <c r="CL100" s="224">
        <v>2505</v>
      </c>
    </row>
    <row r="101" spans="1:90" ht="14.5">
      <c r="A101" t="s">
        <v>371</v>
      </c>
      <c r="B101" t="s">
        <v>372</v>
      </c>
      <c r="C101" t="s">
        <v>373</v>
      </c>
      <c r="D101" s="224">
        <v>541186</v>
      </c>
      <c r="E101" s="224">
        <v>616617</v>
      </c>
      <c r="F101" s="224">
        <v>423925</v>
      </c>
      <c r="G101" s="224">
        <v>472219</v>
      </c>
      <c r="H101" s="224">
        <v>117261</v>
      </c>
      <c r="I101" s="224">
        <v>144398</v>
      </c>
      <c r="J101" s="224">
        <v>16357</v>
      </c>
      <c r="K101" s="224">
        <v>21393</v>
      </c>
      <c r="L101">
        <v>7.2</v>
      </c>
      <c r="M101">
        <v>81.599999999999994</v>
      </c>
      <c r="N101">
        <v>85.1</v>
      </c>
      <c r="O101">
        <v>65.400000000000006</v>
      </c>
      <c r="P101">
        <v>66.599999999999994</v>
      </c>
      <c r="Q101" s="225">
        <v>1620</v>
      </c>
      <c r="R101" s="224">
        <v>1425</v>
      </c>
      <c r="S101" s="224">
        <v>105482</v>
      </c>
      <c r="T101">
        <v>14.5</v>
      </c>
      <c r="U101" s="224">
        <v>24827</v>
      </c>
      <c r="V101">
        <v>3.4</v>
      </c>
      <c r="W101" s="224">
        <v>52674</v>
      </c>
      <c r="X101">
        <v>4.3</v>
      </c>
      <c r="Y101">
        <v>1.3</v>
      </c>
      <c r="Z101">
        <v>2</v>
      </c>
      <c r="AA101" s="224">
        <v>6470</v>
      </c>
      <c r="AB101" s="224">
        <v>6964</v>
      </c>
      <c r="AC101" s="224">
        <v>8735</v>
      </c>
      <c r="AD101">
        <v>895</v>
      </c>
      <c r="AE101" s="224">
        <v>1385</v>
      </c>
      <c r="AF101">
        <v>280</v>
      </c>
      <c r="AG101" t="s">
        <v>597</v>
      </c>
      <c r="AH101">
        <v>530</v>
      </c>
      <c r="AI101" s="224">
        <v>1890</v>
      </c>
      <c r="AJ101">
        <v>950</v>
      </c>
      <c r="AK101" t="s">
        <v>597</v>
      </c>
      <c r="AL101" s="224">
        <v>2900</v>
      </c>
      <c r="AM101" s="224">
        <v>5835</v>
      </c>
      <c r="AN101">
        <v>56.3</v>
      </c>
      <c r="AO101" s="224">
        <v>361763</v>
      </c>
      <c r="AP101" s="224">
        <v>367546</v>
      </c>
      <c r="AQ101" s="224">
        <v>316231</v>
      </c>
      <c r="AR101" s="224">
        <v>626716</v>
      </c>
      <c r="AS101" s="224">
        <v>145322</v>
      </c>
      <c r="AT101" s="224">
        <v>146126</v>
      </c>
      <c r="AU101" s="224">
        <v>274905</v>
      </c>
      <c r="AV101">
        <v>580</v>
      </c>
      <c r="AW101" s="224">
        <v>98530</v>
      </c>
      <c r="AX101" s="224">
        <v>10156</v>
      </c>
      <c r="AY101" s="224">
        <v>72001</v>
      </c>
      <c r="AZ101" s="224">
        <v>9338</v>
      </c>
      <c r="BA101" s="224">
        <v>250344</v>
      </c>
      <c r="BB101" s="224">
        <v>284243</v>
      </c>
      <c r="BC101" s="225">
        <v>47732.76</v>
      </c>
      <c r="BD101" s="225">
        <v>24990.23</v>
      </c>
      <c r="BE101">
        <v>308.97000000000003</v>
      </c>
      <c r="BF101" s="225">
        <v>1082.3</v>
      </c>
      <c r="BG101" s="224">
        <v>61492</v>
      </c>
      <c r="BH101">
        <v>0</v>
      </c>
      <c r="BI101" s="224">
        <v>31834</v>
      </c>
      <c r="BJ101" s="224">
        <v>39732</v>
      </c>
      <c r="BK101" s="224">
        <v>4894</v>
      </c>
      <c r="BL101" s="224">
        <v>15500</v>
      </c>
      <c r="BM101" s="224">
        <v>17500</v>
      </c>
      <c r="BN101" s="224">
        <v>1300</v>
      </c>
      <c r="BO101" s="224">
        <v>16500</v>
      </c>
      <c r="BP101">
        <v>950</v>
      </c>
      <c r="BQ101">
        <v>77</v>
      </c>
      <c r="BR101">
        <v>10</v>
      </c>
      <c r="BS101">
        <v>34</v>
      </c>
      <c r="BT101">
        <v>35</v>
      </c>
      <c r="BU101">
        <v>44</v>
      </c>
      <c r="BV101">
        <v>60</v>
      </c>
      <c r="BW101" s="224">
        <v>12500</v>
      </c>
      <c r="BX101" s="224">
        <v>1600</v>
      </c>
      <c r="BY101">
        <v>950</v>
      </c>
      <c r="BZ101" s="224">
        <v>2600</v>
      </c>
      <c r="CA101">
        <v>17.8</v>
      </c>
      <c r="CB101">
        <v>17.100000000000001</v>
      </c>
      <c r="CC101">
        <v>18.600000000000001</v>
      </c>
      <c r="CD101">
        <v>71</v>
      </c>
      <c r="CE101">
        <v>69.599999999999994</v>
      </c>
      <c r="CF101">
        <v>7.2</v>
      </c>
      <c r="CG101">
        <v>7.4</v>
      </c>
      <c r="CH101">
        <v>63</v>
      </c>
      <c r="CI101">
        <v>58</v>
      </c>
      <c r="CJ101">
        <v>90.4</v>
      </c>
      <c r="CK101" s="224">
        <v>3700</v>
      </c>
      <c r="CL101" s="224">
        <v>3790</v>
      </c>
    </row>
    <row r="102" spans="1:90" ht="14.5">
      <c r="A102" t="s">
        <v>374</v>
      </c>
      <c r="B102" t="s">
        <v>375</v>
      </c>
      <c r="C102" t="s">
        <v>376</v>
      </c>
      <c r="D102" s="224">
        <v>151441</v>
      </c>
      <c r="E102" s="224">
        <v>168557</v>
      </c>
      <c r="F102" s="224">
        <v>123615</v>
      </c>
      <c r="G102" s="224">
        <v>135884</v>
      </c>
      <c r="H102" s="224">
        <v>27826</v>
      </c>
      <c r="I102" s="224">
        <v>32673</v>
      </c>
      <c r="J102" s="224">
        <v>3740</v>
      </c>
      <c r="K102" s="224">
        <v>4424</v>
      </c>
      <c r="L102">
        <v>7.5</v>
      </c>
      <c r="M102">
        <v>78.099999999999994</v>
      </c>
      <c r="N102">
        <v>81.900000000000006</v>
      </c>
      <c r="O102">
        <v>58</v>
      </c>
      <c r="P102">
        <v>57.4</v>
      </c>
      <c r="Q102">
        <v>525</v>
      </c>
      <c r="R102">
        <v>485</v>
      </c>
      <c r="S102" s="224">
        <v>35180</v>
      </c>
      <c r="T102">
        <v>16.3</v>
      </c>
      <c r="U102" s="224">
        <v>11015</v>
      </c>
      <c r="V102">
        <v>5.0999999999999996</v>
      </c>
      <c r="W102" s="224">
        <v>16244</v>
      </c>
      <c r="X102">
        <v>3.6</v>
      </c>
      <c r="Y102">
        <v>1.9</v>
      </c>
      <c r="Z102">
        <v>2.5</v>
      </c>
      <c r="AA102" s="224">
        <v>1506</v>
      </c>
      <c r="AB102" s="224">
        <v>1585</v>
      </c>
      <c r="AC102" s="224">
        <v>2850</v>
      </c>
      <c r="AD102">
        <v>420</v>
      </c>
      <c r="AE102">
        <v>570</v>
      </c>
      <c r="AF102" t="s">
        <v>597</v>
      </c>
      <c r="AG102" t="s">
        <v>597</v>
      </c>
      <c r="AH102">
        <v>180</v>
      </c>
      <c r="AI102">
        <v>870</v>
      </c>
      <c r="AJ102" t="s">
        <v>597</v>
      </c>
      <c r="AK102" t="s">
        <v>597</v>
      </c>
      <c r="AL102" s="224">
        <v>1160</v>
      </c>
      <c r="AM102" s="224">
        <v>1690</v>
      </c>
      <c r="AN102">
        <v>70.400000000000006</v>
      </c>
      <c r="AO102" s="224">
        <v>94426</v>
      </c>
      <c r="AP102" s="224">
        <v>97923</v>
      </c>
      <c r="AQ102" s="224">
        <v>85111</v>
      </c>
      <c r="AR102" s="224">
        <v>209796</v>
      </c>
      <c r="AS102" s="224">
        <v>39720</v>
      </c>
      <c r="AT102" s="224">
        <v>44102</v>
      </c>
      <c r="AU102" s="224">
        <v>77607</v>
      </c>
      <c r="AV102">
        <v>436</v>
      </c>
      <c r="AW102" s="224">
        <v>28481</v>
      </c>
      <c r="AX102" s="224">
        <v>2160</v>
      </c>
      <c r="AY102" s="224">
        <v>29322</v>
      </c>
      <c r="AZ102" s="224">
        <v>4327</v>
      </c>
      <c r="BA102" s="224">
        <v>77317</v>
      </c>
      <c r="BB102" s="224">
        <v>81934</v>
      </c>
      <c r="BC102" s="225">
        <v>35180.17</v>
      </c>
      <c r="BD102" s="225">
        <v>24334.32</v>
      </c>
      <c r="BE102">
        <v>295.52</v>
      </c>
      <c r="BF102" s="225">
        <v>1415.91</v>
      </c>
      <c r="BG102" s="224">
        <v>12812</v>
      </c>
      <c r="BH102">
        <v>0</v>
      </c>
      <c r="BI102" s="224">
        <v>9894</v>
      </c>
      <c r="BJ102" s="224">
        <v>18454</v>
      </c>
      <c r="BK102" s="224">
        <v>1103</v>
      </c>
      <c r="BL102" s="224">
        <v>6700</v>
      </c>
      <c r="BM102" s="224">
        <v>7400</v>
      </c>
      <c r="BN102">
        <v>650</v>
      </c>
      <c r="BO102" s="224">
        <v>7200</v>
      </c>
      <c r="BP102">
        <v>250</v>
      </c>
      <c r="BQ102">
        <v>73</v>
      </c>
      <c r="BR102">
        <v>12</v>
      </c>
      <c r="BS102">
        <v>37</v>
      </c>
      <c r="BT102">
        <v>32</v>
      </c>
      <c r="BU102">
        <v>43</v>
      </c>
      <c r="BV102">
        <v>49</v>
      </c>
      <c r="BW102" s="224">
        <v>5800</v>
      </c>
      <c r="BX102">
        <v>650</v>
      </c>
      <c r="BY102">
        <v>250</v>
      </c>
      <c r="BZ102">
        <v>750</v>
      </c>
      <c r="CA102">
        <v>19.2</v>
      </c>
      <c r="CB102">
        <v>19.7</v>
      </c>
      <c r="CC102">
        <v>18.8</v>
      </c>
      <c r="CD102">
        <v>80.8</v>
      </c>
      <c r="CE102">
        <v>78.599999999999994</v>
      </c>
      <c r="CF102">
        <v>7.7</v>
      </c>
      <c r="CG102">
        <v>7.7</v>
      </c>
      <c r="CH102">
        <v>70.2</v>
      </c>
      <c r="CI102">
        <v>69.400000000000006</v>
      </c>
      <c r="CJ102">
        <v>91.4</v>
      </c>
      <c r="CK102">
        <v>730</v>
      </c>
      <c r="CL102">
        <v>975</v>
      </c>
    </row>
    <row r="103" spans="1:90" ht="14.5">
      <c r="A103" t="s">
        <v>377</v>
      </c>
      <c r="B103" t="s">
        <v>378</v>
      </c>
      <c r="C103" t="s">
        <v>379</v>
      </c>
      <c r="D103" s="224">
        <v>211914</v>
      </c>
      <c r="E103" s="224">
        <v>220321</v>
      </c>
      <c r="F103" s="224">
        <v>165882</v>
      </c>
      <c r="G103" s="224">
        <v>168218</v>
      </c>
      <c r="H103" s="224">
        <v>46032</v>
      </c>
      <c r="I103" s="224">
        <v>52103</v>
      </c>
      <c r="J103" s="224">
        <v>5980</v>
      </c>
      <c r="K103" s="224">
        <v>6925</v>
      </c>
      <c r="L103">
        <v>9</v>
      </c>
      <c r="M103">
        <v>78.599999999999994</v>
      </c>
      <c r="N103">
        <v>82.6</v>
      </c>
      <c r="O103">
        <v>55.2</v>
      </c>
      <c r="P103">
        <v>54</v>
      </c>
      <c r="Q103">
        <v>880</v>
      </c>
      <c r="R103">
        <v>750</v>
      </c>
      <c r="S103" s="224">
        <v>57395</v>
      </c>
      <c r="T103">
        <v>21.7</v>
      </c>
      <c r="U103" s="224">
        <v>17011</v>
      </c>
      <c r="V103">
        <v>6.4</v>
      </c>
      <c r="W103" s="224">
        <v>23956</v>
      </c>
      <c r="X103">
        <v>4.2</v>
      </c>
      <c r="Y103">
        <v>2.1</v>
      </c>
      <c r="Z103">
        <v>3.2</v>
      </c>
      <c r="AA103" s="224">
        <v>2287</v>
      </c>
      <c r="AB103" s="224">
        <v>2270</v>
      </c>
      <c r="AC103" s="224">
        <v>4380</v>
      </c>
      <c r="AD103">
        <v>545</v>
      </c>
      <c r="AE103" s="224">
        <v>1030</v>
      </c>
      <c r="AF103" t="s">
        <v>597</v>
      </c>
      <c r="AG103" t="s">
        <v>597</v>
      </c>
      <c r="AH103">
        <v>170</v>
      </c>
      <c r="AI103" s="224">
        <v>1300</v>
      </c>
      <c r="AJ103" t="s">
        <v>597</v>
      </c>
      <c r="AK103" t="s">
        <v>597</v>
      </c>
      <c r="AL103" s="224">
        <v>1765</v>
      </c>
      <c r="AM103" s="224">
        <v>2615</v>
      </c>
      <c r="AN103">
        <v>65.5</v>
      </c>
      <c r="AO103" s="224">
        <v>134591</v>
      </c>
      <c r="AP103" s="224">
        <v>149418</v>
      </c>
      <c r="AQ103" s="224">
        <v>130402</v>
      </c>
      <c r="AR103" s="224">
        <v>191347</v>
      </c>
      <c r="AS103" s="224">
        <v>61718</v>
      </c>
      <c r="AT103" s="224">
        <v>63884</v>
      </c>
      <c r="AU103" s="224">
        <v>111701</v>
      </c>
      <c r="AV103" s="224">
        <v>4632</v>
      </c>
      <c r="AW103" s="224">
        <v>38483</v>
      </c>
      <c r="AX103" s="224">
        <v>3304</v>
      </c>
      <c r="AY103" s="224">
        <v>41954</v>
      </c>
      <c r="AZ103" s="224">
        <v>6643</v>
      </c>
      <c r="BA103" s="224">
        <v>108997</v>
      </c>
      <c r="BB103" s="224">
        <v>118344</v>
      </c>
      <c r="BC103" s="225">
        <v>32730.31</v>
      </c>
      <c r="BD103" s="225">
        <v>23164.44</v>
      </c>
      <c r="BE103">
        <v>394.43</v>
      </c>
      <c r="BF103" s="225">
        <v>1289.52</v>
      </c>
      <c r="BG103" s="224">
        <v>24092</v>
      </c>
      <c r="BH103">
        <v>14</v>
      </c>
      <c r="BI103" s="224">
        <v>8823</v>
      </c>
      <c r="BJ103" s="224">
        <v>18920</v>
      </c>
      <c r="BK103" s="224">
        <v>6427</v>
      </c>
      <c r="BL103" s="224">
        <v>6600</v>
      </c>
      <c r="BM103" s="224">
        <v>6900</v>
      </c>
      <c r="BN103">
        <v>425</v>
      </c>
      <c r="BO103" s="224">
        <v>6700</v>
      </c>
      <c r="BP103">
        <v>225</v>
      </c>
      <c r="BQ103">
        <v>79</v>
      </c>
      <c r="BR103">
        <v>2</v>
      </c>
      <c r="BS103">
        <v>16</v>
      </c>
      <c r="BT103">
        <v>48</v>
      </c>
      <c r="BU103">
        <v>42</v>
      </c>
      <c r="BV103">
        <v>83</v>
      </c>
      <c r="BW103" s="224">
        <v>5300</v>
      </c>
      <c r="BX103">
        <v>600</v>
      </c>
      <c r="BY103">
        <v>175</v>
      </c>
      <c r="BZ103">
        <v>900</v>
      </c>
      <c r="CA103">
        <v>19.100000000000001</v>
      </c>
      <c r="CB103">
        <v>19.5</v>
      </c>
      <c r="CC103">
        <v>18.7</v>
      </c>
      <c r="CD103">
        <v>79.8</v>
      </c>
      <c r="CE103">
        <v>73.7</v>
      </c>
      <c r="CF103">
        <v>7</v>
      </c>
      <c r="CG103">
        <v>7.3</v>
      </c>
      <c r="CH103">
        <v>67.2</v>
      </c>
      <c r="CI103">
        <v>68.2</v>
      </c>
      <c r="CJ103">
        <v>84.7</v>
      </c>
      <c r="CK103" s="224">
        <v>1920</v>
      </c>
      <c r="CL103" s="224">
        <v>1525</v>
      </c>
    </row>
    <row r="104" spans="1:90" ht="14.5">
      <c r="A104" t="s">
        <v>380</v>
      </c>
      <c r="B104" t="s">
        <v>381</v>
      </c>
      <c r="C104" t="s">
        <v>382</v>
      </c>
      <c r="D104" s="224">
        <v>165266</v>
      </c>
      <c r="E104" s="224">
        <v>169937</v>
      </c>
      <c r="F104" s="224">
        <v>135665</v>
      </c>
      <c r="G104" s="224">
        <v>137330</v>
      </c>
      <c r="H104" s="224">
        <v>29601</v>
      </c>
      <c r="I104" s="224">
        <v>32607</v>
      </c>
      <c r="J104" s="224">
        <v>4339</v>
      </c>
      <c r="K104" s="224">
        <v>4280</v>
      </c>
      <c r="L104">
        <v>7.4</v>
      </c>
      <c r="M104">
        <v>78.099999999999994</v>
      </c>
      <c r="N104">
        <v>82.6</v>
      </c>
      <c r="O104">
        <v>57.5</v>
      </c>
      <c r="P104">
        <v>58.6</v>
      </c>
      <c r="Q104">
        <v>585</v>
      </c>
      <c r="R104">
        <v>485</v>
      </c>
      <c r="S104" s="224">
        <v>36648</v>
      </c>
      <c r="T104">
        <v>17.600000000000001</v>
      </c>
      <c r="U104" s="224">
        <v>10311</v>
      </c>
      <c r="V104">
        <v>5</v>
      </c>
      <c r="W104" s="224">
        <v>15304</v>
      </c>
      <c r="X104">
        <v>3.7</v>
      </c>
      <c r="Y104">
        <v>1.7</v>
      </c>
      <c r="Z104">
        <v>2.4</v>
      </c>
      <c r="AA104">
        <v>965</v>
      </c>
      <c r="AB104">
        <v>943</v>
      </c>
      <c r="AC104" s="224">
        <v>2215</v>
      </c>
      <c r="AD104">
        <v>100</v>
      </c>
      <c r="AE104">
        <v>700</v>
      </c>
      <c r="AF104" t="s">
        <v>597</v>
      </c>
      <c r="AG104" t="s">
        <v>597</v>
      </c>
      <c r="AH104">
        <v>30</v>
      </c>
      <c r="AI104">
        <v>885</v>
      </c>
      <c r="AJ104" t="s">
        <v>597</v>
      </c>
      <c r="AK104" t="s">
        <v>597</v>
      </c>
      <c r="AL104">
        <v>905</v>
      </c>
      <c r="AM104" s="224">
        <v>1310</v>
      </c>
      <c r="AN104">
        <v>63.4</v>
      </c>
      <c r="AO104" s="224">
        <v>97986</v>
      </c>
      <c r="AP104" s="224">
        <v>103593</v>
      </c>
      <c r="AQ104" s="224">
        <v>87548</v>
      </c>
      <c r="AR104" s="224">
        <v>175494</v>
      </c>
      <c r="AS104" s="224">
        <v>31956</v>
      </c>
      <c r="AT104" s="224">
        <v>49612</v>
      </c>
      <c r="AU104" s="224">
        <v>78740</v>
      </c>
      <c r="AV104" s="224">
        <v>2033</v>
      </c>
      <c r="AW104" s="224">
        <v>24155</v>
      </c>
      <c r="AX104" s="224">
        <v>3149</v>
      </c>
      <c r="AY104" s="224">
        <v>21325</v>
      </c>
      <c r="AZ104" s="224">
        <v>4871</v>
      </c>
      <c r="BA104" s="224">
        <v>73586</v>
      </c>
      <c r="BB104" s="224">
        <v>83611</v>
      </c>
      <c r="BC104" s="225">
        <v>36864.089999999997</v>
      </c>
      <c r="BD104" s="225">
        <v>38358.019999999997</v>
      </c>
      <c r="BE104">
        <v>247.5</v>
      </c>
      <c r="BF104" s="225">
        <v>1618.09</v>
      </c>
      <c r="BG104" s="224">
        <v>16304</v>
      </c>
      <c r="BH104">
        <v>134</v>
      </c>
      <c r="BI104" s="224">
        <v>10630</v>
      </c>
      <c r="BJ104" s="224">
        <v>15137</v>
      </c>
      <c r="BK104" s="224">
        <v>2372</v>
      </c>
      <c r="BL104" s="224">
        <v>4200</v>
      </c>
      <c r="BM104" s="224">
        <v>4700</v>
      </c>
      <c r="BN104">
        <v>175</v>
      </c>
      <c r="BO104" s="224">
        <v>3900</v>
      </c>
      <c r="BP104">
        <v>800</v>
      </c>
      <c r="BQ104">
        <v>79</v>
      </c>
      <c r="BR104">
        <v>6</v>
      </c>
      <c r="BS104">
        <v>22</v>
      </c>
      <c r="BT104">
        <v>47</v>
      </c>
      <c r="BU104">
        <v>43</v>
      </c>
      <c r="BV104">
        <v>71</v>
      </c>
      <c r="BW104" s="224">
        <v>3400</v>
      </c>
      <c r="BX104">
        <v>450</v>
      </c>
      <c r="BY104">
        <v>225</v>
      </c>
      <c r="BZ104">
        <v>650</v>
      </c>
      <c r="CA104">
        <v>18.399999999999999</v>
      </c>
      <c r="CB104">
        <v>18.600000000000001</v>
      </c>
      <c r="CC104">
        <v>18.3</v>
      </c>
      <c r="CD104">
        <v>81.3</v>
      </c>
      <c r="CE104">
        <v>79.3</v>
      </c>
      <c r="CF104">
        <v>7.1</v>
      </c>
      <c r="CG104">
        <v>7.5</v>
      </c>
      <c r="CH104">
        <v>72.7</v>
      </c>
      <c r="CI104">
        <v>73.8</v>
      </c>
      <c r="CJ104">
        <v>78.8</v>
      </c>
      <c r="CK104" s="224">
        <v>1265</v>
      </c>
      <c r="CL104" s="224">
        <v>1295</v>
      </c>
    </row>
    <row r="105" spans="1:90" ht="14.5">
      <c r="A105" t="s">
        <v>383</v>
      </c>
      <c r="B105" t="s">
        <v>384</v>
      </c>
      <c r="C105" t="s">
        <v>385</v>
      </c>
      <c r="D105" s="224">
        <v>132561</v>
      </c>
      <c r="E105" s="224">
        <v>146247</v>
      </c>
      <c r="F105" s="224">
        <v>112989</v>
      </c>
      <c r="G105" s="224">
        <v>123569</v>
      </c>
      <c r="H105" s="224">
        <v>19572</v>
      </c>
      <c r="I105" s="224">
        <v>22678</v>
      </c>
      <c r="J105" s="224">
        <v>2881</v>
      </c>
      <c r="K105" s="224">
        <v>3158</v>
      </c>
      <c r="L105">
        <v>6.3</v>
      </c>
      <c r="M105">
        <v>79.400000000000006</v>
      </c>
      <c r="N105">
        <v>83.3</v>
      </c>
      <c r="O105">
        <v>61.7</v>
      </c>
      <c r="P105">
        <v>63</v>
      </c>
      <c r="Q105">
        <v>455</v>
      </c>
      <c r="R105">
        <v>405</v>
      </c>
      <c r="S105" s="224">
        <v>24095</v>
      </c>
      <c r="T105">
        <v>13.8</v>
      </c>
      <c r="U105" s="224">
        <v>6382</v>
      </c>
      <c r="V105">
        <v>3.7</v>
      </c>
      <c r="W105" s="224">
        <v>10986</v>
      </c>
      <c r="X105">
        <v>3.3</v>
      </c>
      <c r="Y105">
        <v>1.5</v>
      </c>
      <c r="Z105">
        <v>1.9</v>
      </c>
      <c r="AA105">
        <v>998</v>
      </c>
      <c r="AB105" s="224">
        <v>1002</v>
      </c>
      <c r="AC105" s="224">
        <v>2175</v>
      </c>
      <c r="AD105">
        <v>240</v>
      </c>
      <c r="AE105">
        <v>570</v>
      </c>
      <c r="AF105">
        <v>15</v>
      </c>
      <c r="AG105" t="s">
        <v>597</v>
      </c>
      <c r="AH105">
        <v>80</v>
      </c>
      <c r="AI105">
        <v>660</v>
      </c>
      <c r="AJ105" t="s">
        <v>597</v>
      </c>
      <c r="AK105" t="s">
        <v>597</v>
      </c>
      <c r="AL105">
        <v>970</v>
      </c>
      <c r="AM105" s="224">
        <v>1205</v>
      </c>
      <c r="AN105">
        <v>68.099999999999994</v>
      </c>
      <c r="AO105" s="224">
        <v>75531</v>
      </c>
      <c r="AP105" s="224">
        <v>83233</v>
      </c>
      <c r="AQ105" s="224">
        <v>77879</v>
      </c>
      <c r="AR105" s="224">
        <v>188415</v>
      </c>
      <c r="AS105" s="224">
        <v>38807</v>
      </c>
      <c r="AT105" s="224">
        <v>33965</v>
      </c>
      <c r="AU105" s="224">
        <v>64321</v>
      </c>
      <c r="AV105">
        <v>188</v>
      </c>
      <c r="AW105" s="224">
        <v>24015</v>
      </c>
      <c r="AX105" s="224">
        <v>2565</v>
      </c>
      <c r="AY105" s="224">
        <v>24870</v>
      </c>
      <c r="AZ105" s="224">
        <v>2558</v>
      </c>
      <c r="BA105" s="224">
        <v>53018</v>
      </c>
      <c r="BB105" s="224">
        <v>66879</v>
      </c>
      <c r="BC105" s="225">
        <v>36235.050000000003</v>
      </c>
      <c r="BD105" s="225">
        <v>26332.78</v>
      </c>
      <c r="BE105">
        <v>315.57</v>
      </c>
      <c r="BF105" s="225">
        <v>1610.81</v>
      </c>
      <c r="BG105" s="224">
        <v>10770</v>
      </c>
      <c r="BH105">
        <v>0</v>
      </c>
      <c r="BI105" s="224">
        <v>3322</v>
      </c>
      <c r="BJ105" s="224">
        <v>11496</v>
      </c>
      <c r="BK105" s="224">
        <v>3549</v>
      </c>
      <c r="BL105" s="224">
        <v>3600</v>
      </c>
      <c r="BM105" s="224">
        <v>4000</v>
      </c>
      <c r="BN105">
        <v>200</v>
      </c>
      <c r="BO105" s="224">
        <v>3700</v>
      </c>
      <c r="BP105">
        <v>375</v>
      </c>
      <c r="BQ105">
        <v>79</v>
      </c>
      <c r="BR105">
        <v>12</v>
      </c>
      <c r="BS105">
        <v>38</v>
      </c>
      <c r="BT105">
        <v>30</v>
      </c>
      <c r="BU105">
        <v>45</v>
      </c>
      <c r="BV105">
        <v>48</v>
      </c>
      <c r="BW105" s="224">
        <v>3000</v>
      </c>
      <c r="BX105">
        <v>400</v>
      </c>
      <c r="BY105">
        <v>150</v>
      </c>
      <c r="BZ105">
        <v>500</v>
      </c>
      <c r="CA105">
        <v>19.2</v>
      </c>
      <c r="CB105">
        <v>19.8</v>
      </c>
      <c r="CC105">
        <v>18.600000000000001</v>
      </c>
      <c r="CD105">
        <v>77.2</v>
      </c>
      <c r="CE105">
        <v>73.2</v>
      </c>
      <c r="CF105">
        <v>6.5</v>
      </c>
      <c r="CG105">
        <v>6.9</v>
      </c>
      <c r="CH105">
        <v>68.8</v>
      </c>
      <c r="CI105">
        <v>71</v>
      </c>
      <c r="CJ105">
        <v>73.3</v>
      </c>
      <c r="CK105">
        <v>580</v>
      </c>
      <c r="CL105">
        <v>925</v>
      </c>
    </row>
    <row r="106" spans="1:90" ht="14.5">
      <c r="A106" t="s">
        <v>386</v>
      </c>
      <c r="B106" t="s">
        <v>387</v>
      </c>
      <c r="C106" t="s">
        <v>388</v>
      </c>
      <c r="D106" s="224">
        <v>225039</v>
      </c>
      <c r="E106" s="224">
        <v>246706</v>
      </c>
      <c r="F106" s="224">
        <v>189247</v>
      </c>
      <c r="G106" s="224">
        <v>205434</v>
      </c>
      <c r="H106" s="224">
        <v>35792</v>
      </c>
      <c r="I106" s="224">
        <v>41272</v>
      </c>
      <c r="J106" s="224">
        <v>5242</v>
      </c>
      <c r="K106" s="224">
        <v>5535</v>
      </c>
      <c r="L106">
        <v>6.9</v>
      </c>
      <c r="M106">
        <v>80.900000000000006</v>
      </c>
      <c r="N106">
        <v>85</v>
      </c>
      <c r="O106">
        <v>63.5</v>
      </c>
      <c r="P106">
        <v>63.3</v>
      </c>
      <c r="Q106">
        <v>645</v>
      </c>
      <c r="R106">
        <v>580</v>
      </c>
      <c r="S106" s="224">
        <v>37022</v>
      </c>
      <c r="T106">
        <v>11.9</v>
      </c>
      <c r="U106" s="224">
        <v>12496</v>
      </c>
      <c r="V106">
        <v>4</v>
      </c>
      <c r="W106" s="224">
        <v>21395</v>
      </c>
      <c r="X106">
        <v>3.6</v>
      </c>
      <c r="Y106">
        <v>1.8</v>
      </c>
      <c r="Z106">
        <v>2</v>
      </c>
      <c r="AA106" s="224">
        <v>1357</v>
      </c>
      <c r="AB106" s="224">
        <v>1422</v>
      </c>
      <c r="AC106" s="224">
        <v>4075</v>
      </c>
      <c r="AD106">
        <v>460</v>
      </c>
      <c r="AE106">
        <v>880</v>
      </c>
      <c r="AF106" t="s">
        <v>597</v>
      </c>
      <c r="AG106" t="s">
        <v>597</v>
      </c>
      <c r="AH106">
        <v>165</v>
      </c>
      <c r="AI106" s="224">
        <v>1675</v>
      </c>
      <c r="AJ106" t="s">
        <v>597</v>
      </c>
      <c r="AK106" t="s">
        <v>597</v>
      </c>
      <c r="AL106" s="224">
        <v>1530</v>
      </c>
      <c r="AM106" s="224">
        <v>2545</v>
      </c>
      <c r="AN106">
        <v>59</v>
      </c>
      <c r="AO106" s="224">
        <v>128790</v>
      </c>
      <c r="AP106" s="224">
        <v>141673</v>
      </c>
      <c r="AQ106" s="224">
        <v>119251</v>
      </c>
      <c r="AR106" s="224">
        <v>256232</v>
      </c>
      <c r="AS106" s="224">
        <v>60439</v>
      </c>
      <c r="AT106" s="224">
        <v>56874</v>
      </c>
      <c r="AU106" s="224">
        <v>106306</v>
      </c>
      <c r="AV106">
        <v>3</v>
      </c>
      <c r="AW106" s="224">
        <v>35334</v>
      </c>
      <c r="AX106">
        <v>38</v>
      </c>
      <c r="AY106" s="224">
        <v>40312</v>
      </c>
      <c r="AZ106">
        <v>101</v>
      </c>
      <c r="BA106" s="224">
        <v>93050</v>
      </c>
      <c r="BB106" s="224">
        <v>106407</v>
      </c>
      <c r="BC106" s="225">
        <v>36088.89</v>
      </c>
      <c r="BD106" s="225">
        <v>20114.34</v>
      </c>
      <c r="BE106">
        <v>294.22000000000003</v>
      </c>
      <c r="BF106" s="225">
        <v>1378.95</v>
      </c>
      <c r="BG106" s="224">
        <v>22291</v>
      </c>
      <c r="BH106">
        <v>173</v>
      </c>
      <c r="BI106" s="224">
        <v>10125</v>
      </c>
      <c r="BJ106" s="224">
        <v>12892</v>
      </c>
      <c r="BK106">
        <v>401</v>
      </c>
      <c r="BL106" s="224">
        <v>7000</v>
      </c>
      <c r="BM106" s="224">
        <v>7800</v>
      </c>
      <c r="BN106">
        <v>500</v>
      </c>
      <c r="BO106" s="224">
        <v>7400</v>
      </c>
      <c r="BP106">
        <v>425</v>
      </c>
      <c r="BQ106">
        <v>76</v>
      </c>
      <c r="BR106">
        <v>5</v>
      </c>
      <c r="BS106">
        <v>51</v>
      </c>
      <c r="BT106">
        <v>45</v>
      </c>
      <c r="BU106">
        <v>43</v>
      </c>
      <c r="BV106">
        <v>14</v>
      </c>
      <c r="BW106" s="224">
        <v>6300</v>
      </c>
      <c r="BX106">
        <v>650</v>
      </c>
      <c r="BY106">
        <v>225</v>
      </c>
      <c r="BZ106">
        <v>600</v>
      </c>
      <c r="CA106">
        <v>18.7</v>
      </c>
      <c r="CB106">
        <v>19</v>
      </c>
      <c r="CC106">
        <v>18.5</v>
      </c>
      <c r="CD106">
        <v>71.599999999999994</v>
      </c>
      <c r="CE106">
        <v>69.599999999999994</v>
      </c>
      <c r="CF106">
        <v>7.1</v>
      </c>
      <c r="CG106">
        <v>7.7</v>
      </c>
      <c r="CH106">
        <v>69.599999999999994</v>
      </c>
      <c r="CI106">
        <v>69.5</v>
      </c>
      <c r="CJ106">
        <v>85.1</v>
      </c>
      <c r="CK106" s="224">
        <v>3640</v>
      </c>
      <c r="CL106">
        <v>465</v>
      </c>
    </row>
    <row r="107" spans="1:90" ht="14.5">
      <c r="A107" t="s">
        <v>389</v>
      </c>
      <c r="B107" t="s">
        <v>390</v>
      </c>
      <c r="C107" t="s">
        <v>391</v>
      </c>
      <c r="D107" s="224">
        <v>107966</v>
      </c>
      <c r="E107" s="224">
        <v>112354</v>
      </c>
      <c r="F107" s="224">
        <v>78814</v>
      </c>
      <c r="G107" s="224">
        <v>78096</v>
      </c>
      <c r="H107" s="224">
        <v>29152</v>
      </c>
      <c r="I107" s="224">
        <v>34258</v>
      </c>
      <c r="J107" s="224">
        <v>3472</v>
      </c>
      <c r="K107" s="224">
        <v>4342</v>
      </c>
      <c r="L107">
        <v>10.1</v>
      </c>
      <c r="M107">
        <v>77</v>
      </c>
      <c r="N107">
        <v>81.5</v>
      </c>
      <c r="O107">
        <v>54.3</v>
      </c>
      <c r="P107">
        <v>54.3</v>
      </c>
      <c r="Q107">
        <v>525</v>
      </c>
      <c r="R107">
        <v>470</v>
      </c>
      <c r="S107" s="224">
        <v>30483</v>
      </c>
      <c r="T107">
        <v>22.3</v>
      </c>
      <c r="U107" s="224">
        <v>10397</v>
      </c>
      <c r="V107">
        <v>7.6</v>
      </c>
      <c r="W107" s="224">
        <v>13840</v>
      </c>
      <c r="X107">
        <v>4.3</v>
      </c>
      <c r="Y107">
        <v>2.5</v>
      </c>
      <c r="Z107">
        <v>3.9</v>
      </c>
      <c r="AA107" s="224">
        <v>1369</v>
      </c>
      <c r="AB107" s="224">
        <v>1356</v>
      </c>
      <c r="AC107" s="224">
        <v>2920</v>
      </c>
      <c r="AD107">
        <v>435</v>
      </c>
      <c r="AE107">
        <v>385</v>
      </c>
      <c r="AF107" t="s">
        <v>597</v>
      </c>
      <c r="AG107">
        <v>30</v>
      </c>
      <c r="AH107">
        <v>125</v>
      </c>
      <c r="AI107" s="224">
        <v>1000</v>
      </c>
      <c r="AJ107" t="s">
        <v>597</v>
      </c>
      <c r="AK107" t="s">
        <v>597</v>
      </c>
      <c r="AL107">
        <v>985</v>
      </c>
      <c r="AM107" s="224">
        <v>1935</v>
      </c>
      <c r="AN107">
        <v>70.8</v>
      </c>
      <c r="AO107" s="224">
        <v>73422</v>
      </c>
      <c r="AP107" s="224">
        <v>83345</v>
      </c>
      <c r="AQ107" s="224">
        <v>67812</v>
      </c>
      <c r="AR107" s="224">
        <v>147805</v>
      </c>
      <c r="AS107" s="224">
        <v>26691</v>
      </c>
      <c r="AT107" s="224">
        <v>38343</v>
      </c>
      <c r="AU107" s="224">
        <v>57925</v>
      </c>
      <c r="AV107">
        <v>628</v>
      </c>
      <c r="AW107" s="224">
        <v>15189</v>
      </c>
      <c r="AX107" s="224">
        <v>3957</v>
      </c>
      <c r="AY107" s="224">
        <v>30777</v>
      </c>
      <c r="AZ107" s="224">
        <v>4180</v>
      </c>
      <c r="BA107" s="224">
        <v>57986</v>
      </c>
      <c r="BB107" s="224">
        <v>62105</v>
      </c>
      <c r="BC107" s="225">
        <v>24460.91</v>
      </c>
      <c r="BD107" s="225">
        <v>19643.93</v>
      </c>
      <c r="BE107">
        <v>349.81</v>
      </c>
      <c r="BF107" s="225">
        <v>1234.75</v>
      </c>
      <c r="BG107" s="224">
        <v>16907</v>
      </c>
      <c r="BH107">
        <v>0</v>
      </c>
      <c r="BI107" s="224">
        <v>12247</v>
      </c>
      <c r="BJ107" s="224">
        <v>21770</v>
      </c>
      <c r="BK107" s="224">
        <v>1445</v>
      </c>
      <c r="BL107" s="224">
        <v>3500</v>
      </c>
      <c r="BM107" s="224">
        <v>3600</v>
      </c>
      <c r="BN107">
        <v>225</v>
      </c>
      <c r="BO107" s="224">
        <v>3100</v>
      </c>
      <c r="BP107">
        <v>500</v>
      </c>
      <c r="BQ107">
        <v>85</v>
      </c>
      <c r="BR107">
        <v>1</v>
      </c>
      <c r="BS107">
        <v>9</v>
      </c>
      <c r="BT107">
        <v>40</v>
      </c>
      <c r="BU107">
        <v>42</v>
      </c>
      <c r="BV107">
        <v>93</v>
      </c>
      <c r="BW107" s="224">
        <v>2500</v>
      </c>
      <c r="BX107">
        <v>300</v>
      </c>
      <c r="BY107">
        <v>175</v>
      </c>
      <c r="BZ107">
        <v>600</v>
      </c>
      <c r="CA107">
        <v>19.399999999999999</v>
      </c>
      <c r="CB107">
        <v>19.899999999999999</v>
      </c>
      <c r="CC107">
        <v>19.100000000000001</v>
      </c>
      <c r="CD107">
        <v>80.400000000000006</v>
      </c>
      <c r="CE107">
        <v>76</v>
      </c>
      <c r="CF107">
        <v>7.3</v>
      </c>
      <c r="CG107">
        <v>7.4</v>
      </c>
      <c r="CH107">
        <v>69.099999999999994</v>
      </c>
      <c r="CI107">
        <v>67.5</v>
      </c>
      <c r="CJ107">
        <v>90</v>
      </c>
      <c r="CK107">
        <v>740</v>
      </c>
      <c r="CL107">
        <v>710</v>
      </c>
    </row>
    <row r="108" spans="1:90" ht="14.5">
      <c r="A108" t="s">
        <v>392</v>
      </c>
      <c r="B108" t="s">
        <v>393</v>
      </c>
      <c r="C108" t="s">
        <v>394</v>
      </c>
      <c r="D108" s="224">
        <v>151064</v>
      </c>
      <c r="E108" s="224">
        <v>154265</v>
      </c>
      <c r="F108" s="224">
        <v>122547</v>
      </c>
      <c r="G108" s="224">
        <v>119754</v>
      </c>
      <c r="H108" s="224">
        <v>28517</v>
      </c>
      <c r="I108" s="224">
        <v>34511</v>
      </c>
      <c r="J108" s="224">
        <v>4209</v>
      </c>
      <c r="K108" s="224">
        <v>4491</v>
      </c>
      <c r="L108">
        <v>6.7</v>
      </c>
      <c r="M108">
        <v>82.7</v>
      </c>
      <c r="N108">
        <v>86.8</v>
      </c>
      <c r="O108">
        <v>69.3</v>
      </c>
      <c r="P108">
        <v>70.3</v>
      </c>
      <c r="Q108">
        <v>455</v>
      </c>
      <c r="R108">
        <v>390</v>
      </c>
      <c r="S108" s="224">
        <v>23479</v>
      </c>
      <c r="T108">
        <v>12</v>
      </c>
      <c r="U108" s="224">
        <v>5934</v>
      </c>
      <c r="V108">
        <v>3</v>
      </c>
      <c r="W108" s="224">
        <v>13146</v>
      </c>
      <c r="X108">
        <v>4.4000000000000004</v>
      </c>
      <c r="Y108">
        <v>1.1000000000000001</v>
      </c>
      <c r="Z108">
        <v>1.6</v>
      </c>
      <c r="AA108" s="224">
        <v>1199</v>
      </c>
      <c r="AB108" s="224">
        <v>1029</v>
      </c>
      <c r="AC108" s="224">
        <v>2045</v>
      </c>
      <c r="AD108">
        <v>300</v>
      </c>
      <c r="AE108">
        <v>390</v>
      </c>
      <c r="AF108" t="s">
        <v>597</v>
      </c>
      <c r="AG108" t="s">
        <v>597</v>
      </c>
      <c r="AH108">
        <v>165</v>
      </c>
      <c r="AI108">
        <v>550</v>
      </c>
      <c r="AJ108" t="s">
        <v>597</v>
      </c>
      <c r="AK108" t="s">
        <v>597</v>
      </c>
      <c r="AL108">
        <v>825</v>
      </c>
      <c r="AM108" s="224">
        <v>1220</v>
      </c>
      <c r="AN108">
        <v>65.2</v>
      </c>
      <c r="AO108" s="224">
        <v>93043</v>
      </c>
      <c r="AP108" s="224">
        <v>103162</v>
      </c>
      <c r="AQ108" s="224">
        <v>95018</v>
      </c>
      <c r="AR108" s="224">
        <v>213190</v>
      </c>
      <c r="AS108" s="224">
        <v>36203</v>
      </c>
      <c r="AT108" s="224">
        <v>39307</v>
      </c>
      <c r="AU108" s="224">
        <v>73197</v>
      </c>
      <c r="AV108" s="224">
        <v>1778</v>
      </c>
      <c r="AW108" s="224">
        <v>23742</v>
      </c>
      <c r="AX108" s="224">
        <v>2475</v>
      </c>
      <c r="AY108" s="224">
        <v>15283</v>
      </c>
      <c r="AZ108" s="224">
        <v>1688</v>
      </c>
      <c r="BA108" s="224">
        <v>67119</v>
      </c>
      <c r="BB108" s="224">
        <v>74885</v>
      </c>
      <c r="BC108" s="225">
        <v>42512.73</v>
      </c>
      <c r="BD108" s="225">
        <v>32632.79</v>
      </c>
      <c r="BE108">
        <v>317.16000000000003</v>
      </c>
      <c r="BF108" s="225">
        <v>1210.69</v>
      </c>
      <c r="BG108" s="224">
        <v>13578</v>
      </c>
      <c r="BH108">
        <v>0</v>
      </c>
      <c r="BI108" s="224">
        <v>9372</v>
      </c>
      <c r="BJ108" s="224">
        <v>16665</v>
      </c>
      <c r="BK108">
        <v>868</v>
      </c>
      <c r="BL108" s="224">
        <v>3900</v>
      </c>
      <c r="BM108" s="224">
        <v>4300</v>
      </c>
      <c r="BN108">
        <v>500</v>
      </c>
      <c r="BO108" s="224">
        <v>3700</v>
      </c>
      <c r="BP108">
        <v>550</v>
      </c>
      <c r="BQ108">
        <v>78</v>
      </c>
      <c r="BR108">
        <v>12</v>
      </c>
      <c r="BS108">
        <v>36</v>
      </c>
      <c r="BT108">
        <v>45</v>
      </c>
      <c r="BU108">
        <v>45</v>
      </c>
      <c r="BV108">
        <v>47</v>
      </c>
      <c r="BW108" s="224">
        <v>2800</v>
      </c>
      <c r="BX108">
        <v>500</v>
      </c>
      <c r="BY108">
        <v>275</v>
      </c>
      <c r="BZ108">
        <v>650</v>
      </c>
      <c r="CA108">
        <v>19.600000000000001</v>
      </c>
      <c r="CB108">
        <v>20</v>
      </c>
      <c r="CC108">
        <v>19.2</v>
      </c>
      <c r="CD108">
        <v>81.599999999999994</v>
      </c>
      <c r="CE108">
        <v>76.599999999999994</v>
      </c>
      <c r="CF108">
        <v>7.6</v>
      </c>
      <c r="CG108">
        <v>7.7</v>
      </c>
      <c r="CH108">
        <v>73.900000000000006</v>
      </c>
      <c r="CI108">
        <v>73</v>
      </c>
      <c r="CJ108">
        <v>92.7</v>
      </c>
      <c r="CK108">
        <v>600</v>
      </c>
      <c r="CL108">
        <v>795</v>
      </c>
    </row>
    <row r="109" spans="1:90" ht="14.5">
      <c r="A109" t="s">
        <v>395</v>
      </c>
      <c r="B109" t="s">
        <v>396</v>
      </c>
      <c r="C109" t="s">
        <v>397</v>
      </c>
      <c r="D109" s="224">
        <v>163456</v>
      </c>
      <c r="E109" s="224">
        <v>179855</v>
      </c>
      <c r="F109" s="224">
        <v>129354</v>
      </c>
      <c r="G109" s="224">
        <v>140536</v>
      </c>
      <c r="H109" s="224">
        <v>34102</v>
      </c>
      <c r="I109" s="224">
        <v>39319</v>
      </c>
      <c r="J109" s="224">
        <v>4112</v>
      </c>
      <c r="K109" s="224">
        <v>4283</v>
      </c>
      <c r="L109">
        <v>8.6999999999999993</v>
      </c>
      <c r="M109">
        <v>77.3</v>
      </c>
      <c r="N109">
        <v>81.3</v>
      </c>
      <c r="O109">
        <v>53.8</v>
      </c>
      <c r="P109">
        <v>54.2</v>
      </c>
      <c r="Q109">
        <v>760</v>
      </c>
      <c r="R109">
        <v>660</v>
      </c>
      <c r="S109" s="224">
        <v>42567</v>
      </c>
      <c r="T109">
        <v>19</v>
      </c>
      <c r="U109" s="224">
        <v>14350</v>
      </c>
      <c r="V109">
        <v>6.4</v>
      </c>
      <c r="W109" s="224">
        <v>19414</v>
      </c>
      <c r="X109">
        <v>3.9</v>
      </c>
      <c r="Y109">
        <v>2.2000000000000002</v>
      </c>
      <c r="Z109">
        <v>3.1</v>
      </c>
      <c r="AA109" s="224">
        <v>1621</v>
      </c>
      <c r="AB109" s="224">
        <v>1624</v>
      </c>
      <c r="AC109" s="224">
        <v>4210</v>
      </c>
      <c r="AD109">
        <v>415</v>
      </c>
      <c r="AE109">
        <v>610</v>
      </c>
      <c r="AF109" t="s">
        <v>597</v>
      </c>
      <c r="AG109">
        <v>435</v>
      </c>
      <c r="AH109">
        <v>305</v>
      </c>
      <c r="AI109">
        <v>95</v>
      </c>
      <c r="AJ109" t="s">
        <v>597</v>
      </c>
      <c r="AK109">
        <v>950</v>
      </c>
      <c r="AL109" s="224">
        <v>1720</v>
      </c>
      <c r="AM109" s="224">
        <v>2490</v>
      </c>
      <c r="AN109">
        <v>63.1</v>
      </c>
      <c r="AO109" s="224">
        <v>126728</v>
      </c>
      <c r="AP109" s="224">
        <v>138871</v>
      </c>
      <c r="AQ109" s="224">
        <v>117418</v>
      </c>
      <c r="AR109" s="224">
        <v>271281</v>
      </c>
      <c r="AS109" s="224">
        <v>68563</v>
      </c>
      <c r="AT109" s="224">
        <v>50312</v>
      </c>
      <c r="AU109" s="224">
        <v>109683</v>
      </c>
      <c r="AV109" s="224">
        <v>1705</v>
      </c>
      <c r="AW109" s="224">
        <v>37578</v>
      </c>
      <c r="AX109" s="224">
        <v>3617</v>
      </c>
      <c r="AY109" s="224">
        <v>23257</v>
      </c>
      <c r="AZ109" s="224">
        <v>5639</v>
      </c>
      <c r="BA109" s="224">
        <v>108093</v>
      </c>
      <c r="BB109" s="224">
        <v>115322</v>
      </c>
      <c r="BC109" s="225">
        <v>36638.949999999997</v>
      </c>
      <c r="BD109" s="225">
        <v>21005.22</v>
      </c>
      <c r="BE109">
        <v>500</v>
      </c>
      <c r="BF109" s="225">
        <v>1371.58</v>
      </c>
      <c r="BG109" s="224">
        <v>21453</v>
      </c>
      <c r="BH109">
        <v>0</v>
      </c>
      <c r="BI109" s="224">
        <v>14521</v>
      </c>
      <c r="BJ109" s="224">
        <v>24693</v>
      </c>
      <c r="BK109" s="224">
        <v>6244</v>
      </c>
      <c r="BL109" s="224">
        <v>6000</v>
      </c>
      <c r="BM109" s="224">
        <v>6400</v>
      </c>
      <c r="BN109">
        <v>100</v>
      </c>
      <c r="BO109" s="224">
        <v>6000</v>
      </c>
      <c r="BP109">
        <v>450</v>
      </c>
      <c r="BQ109">
        <v>79</v>
      </c>
      <c r="BR109">
        <v>4</v>
      </c>
      <c r="BS109">
        <v>21</v>
      </c>
      <c r="BT109">
        <v>39</v>
      </c>
      <c r="BU109">
        <v>44</v>
      </c>
      <c r="BV109">
        <v>73</v>
      </c>
      <c r="BW109" s="224">
        <v>5000</v>
      </c>
      <c r="BX109">
        <v>475</v>
      </c>
      <c r="BY109">
        <v>200</v>
      </c>
      <c r="BZ109">
        <v>750</v>
      </c>
      <c r="CA109">
        <v>18.8</v>
      </c>
      <c r="CB109">
        <v>19.100000000000001</v>
      </c>
      <c r="CC109">
        <v>18.3</v>
      </c>
      <c r="CD109">
        <v>78.099999999999994</v>
      </c>
      <c r="CE109">
        <v>73.8</v>
      </c>
      <c r="CF109">
        <v>7.1</v>
      </c>
      <c r="CG109">
        <v>7.3</v>
      </c>
      <c r="CH109">
        <v>63.3</v>
      </c>
      <c r="CI109">
        <v>66.2</v>
      </c>
      <c r="CJ109">
        <v>70.400000000000006</v>
      </c>
      <c r="CK109" s="224">
        <v>3415</v>
      </c>
      <c r="CL109" s="224">
        <v>3210</v>
      </c>
    </row>
    <row r="110" spans="1:90" ht="14.5">
      <c r="A110" t="s">
        <v>398</v>
      </c>
      <c r="B110" t="s">
        <v>399</v>
      </c>
      <c r="C110" t="s">
        <v>400</v>
      </c>
      <c r="D110" s="224">
        <v>205671</v>
      </c>
      <c r="E110" s="224">
        <v>219793</v>
      </c>
      <c r="F110" s="224">
        <v>156160</v>
      </c>
      <c r="G110" s="224">
        <v>164346</v>
      </c>
      <c r="H110" s="224">
        <v>49511</v>
      </c>
      <c r="I110" s="224">
        <v>55447</v>
      </c>
      <c r="J110" s="224">
        <v>5687</v>
      </c>
      <c r="K110" s="224">
        <v>7064</v>
      </c>
      <c r="L110">
        <v>9.9</v>
      </c>
      <c r="M110">
        <v>78.2</v>
      </c>
      <c r="N110">
        <v>81.2</v>
      </c>
      <c r="O110">
        <v>55.6</v>
      </c>
      <c r="P110">
        <v>55.1</v>
      </c>
      <c r="Q110">
        <v>820</v>
      </c>
      <c r="R110">
        <v>725</v>
      </c>
      <c r="S110" s="224">
        <v>56177</v>
      </c>
      <c r="T110">
        <v>21.1</v>
      </c>
      <c r="U110" s="224">
        <v>18721</v>
      </c>
      <c r="V110">
        <v>7</v>
      </c>
      <c r="W110" s="224">
        <v>26313</v>
      </c>
      <c r="X110">
        <v>4.4000000000000004</v>
      </c>
      <c r="Y110">
        <v>2.4</v>
      </c>
      <c r="Z110">
        <v>3.7</v>
      </c>
      <c r="AA110" s="224">
        <v>2377</v>
      </c>
      <c r="AB110" s="224">
        <v>2612</v>
      </c>
      <c r="AC110" s="224">
        <v>4815</v>
      </c>
      <c r="AD110">
        <v>890</v>
      </c>
      <c r="AE110">
        <v>570</v>
      </c>
      <c r="AF110" t="s">
        <v>597</v>
      </c>
      <c r="AG110" t="s">
        <v>597</v>
      </c>
      <c r="AH110">
        <v>365</v>
      </c>
      <c r="AI110" s="224">
        <v>1720</v>
      </c>
      <c r="AJ110" t="s">
        <v>597</v>
      </c>
      <c r="AK110" t="s">
        <v>597</v>
      </c>
      <c r="AL110" s="224">
        <v>1710</v>
      </c>
      <c r="AM110" s="224">
        <v>3105</v>
      </c>
      <c r="AN110">
        <v>70.5</v>
      </c>
      <c r="AO110" s="224">
        <v>156795</v>
      </c>
      <c r="AP110" s="224">
        <v>171231</v>
      </c>
      <c r="AQ110" s="224">
        <v>148405</v>
      </c>
      <c r="AR110" s="224">
        <v>298648</v>
      </c>
      <c r="AS110" s="224">
        <v>75423</v>
      </c>
      <c r="AT110" s="224">
        <v>61849</v>
      </c>
      <c r="AU110" s="224">
        <v>118489</v>
      </c>
      <c r="AV110" s="224">
        <v>2111</v>
      </c>
      <c r="AW110" s="224">
        <v>42927</v>
      </c>
      <c r="AX110" s="224">
        <v>6729</v>
      </c>
      <c r="AY110" s="224">
        <v>40077</v>
      </c>
      <c r="AZ110" s="224">
        <v>4855</v>
      </c>
      <c r="BA110" s="224">
        <v>108611</v>
      </c>
      <c r="BB110" s="224">
        <v>123344</v>
      </c>
      <c r="BC110" s="225">
        <v>37507.599999999999</v>
      </c>
      <c r="BD110" s="225">
        <v>19067.95</v>
      </c>
      <c r="BE110">
        <v>471.77</v>
      </c>
      <c r="BF110" s="225">
        <v>1236.82</v>
      </c>
      <c r="BG110" s="224">
        <v>22826</v>
      </c>
      <c r="BH110">
        <v>0</v>
      </c>
      <c r="BI110" s="224">
        <v>8496</v>
      </c>
      <c r="BJ110" s="224">
        <v>11761</v>
      </c>
      <c r="BK110">
        <v>906</v>
      </c>
      <c r="BL110" s="224">
        <v>7200</v>
      </c>
      <c r="BM110" s="224">
        <v>7500</v>
      </c>
      <c r="BN110">
        <v>225</v>
      </c>
      <c r="BO110" s="224">
        <v>6800</v>
      </c>
      <c r="BP110">
        <v>700</v>
      </c>
      <c r="BQ110">
        <v>82</v>
      </c>
      <c r="BR110">
        <v>3</v>
      </c>
      <c r="BS110">
        <v>15</v>
      </c>
      <c r="BT110">
        <v>38</v>
      </c>
      <c r="BU110">
        <v>44</v>
      </c>
      <c r="BV110">
        <v>79</v>
      </c>
      <c r="BW110" s="224">
        <v>5700</v>
      </c>
      <c r="BX110">
        <v>550</v>
      </c>
      <c r="BY110">
        <v>300</v>
      </c>
      <c r="BZ110">
        <v>950</v>
      </c>
      <c r="CA110">
        <v>19.100000000000001</v>
      </c>
      <c r="CB110">
        <v>19.3</v>
      </c>
      <c r="CC110">
        <v>19</v>
      </c>
      <c r="CD110">
        <v>77</v>
      </c>
      <c r="CE110">
        <v>73.099999999999994</v>
      </c>
      <c r="CF110">
        <v>7.1</v>
      </c>
      <c r="CG110">
        <v>7.3</v>
      </c>
      <c r="CH110">
        <v>66</v>
      </c>
      <c r="CI110">
        <v>69.900000000000006</v>
      </c>
      <c r="CJ110">
        <v>80.3</v>
      </c>
      <c r="CK110">
        <v>745</v>
      </c>
      <c r="CL110">
        <v>680</v>
      </c>
    </row>
    <row r="111" spans="1:90" ht="14.5">
      <c r="A111" t="s">
        <v>401</v>
      </c>
      <c r="B111" t="s">
        <v>402</v>
      </c>
      <c r="C111" t="s">
        <v>403</v>
      </c>
      <c r="D111" s="224">
        <v>30410</v>
      </c>
      <c r="E111" s="224">
        <v>33867</v>
      </c>
      <c r="F111" s="224">
        <v>21339</v>
      </c>
      <c r="G111" s="224">
        <v>22624</v>
      </c>
      <c r="H111" s="224">
        <v>9071</v>
      </c>
      <c r="I111" s="224">
        <v>11243</v>
      </c>
      <c r="J111" s="224">
        <v>1230</v>
      </c>
      <c r="K111" s="224">
        <v>1680</v>
      </c>
      <c r="L111">
        <v>7.7</v>
      </c>
      <c r="M111">
        <v>81.900000000000006</v>
      </c>
      <c r="N111">
        <v>84.8</v>
      </c>
      <c r="O111">
        <v>65</v>
      </c>
      <c r="P111">
        <v>64.8</v>
      </c>
      <c r="Q111">
        <v>65</v>
      </c>
      <c r="R111">
        <v>60</v>
      </c>
      <c r="S111" s="224">
        <v>6523</v>
      </c>
      <c r="T111">
        <v>15.9</v>
      </c>
      <c r="U111" s="224">
        <v>1451</v>
      </c>
      <c r="V111">
        <v>3.5</v>
      </c>
      <c r="W111" s="224">
        <v>3171</v>
      </c>
      <c r="X111">
        <v>4.5999999999999996</v>
      </c>
      <c r="Y111">
        <v>1.2</v>
      </c>
      <c r="Z111">
        <v>2.2000000000000002</v>
      </c>
      <c r="AA111">
        <v>450</v>
      </c>
      <c r="AB111">
        <v>452</v>
      </c>
      <c r="AC111">
        <v>490</v>
      </c>
      <c r="AD111">
        <v>60</v>
      </c>
      <c r="AE111">
        <v>45</v>
      </c>
      <c r="AF111" t="s">
        <v>597</v>
      </c>
      <c r="AG111" t="s">
        <v>597</v>
      </c>
      <c r="AH111">
        <v>35</v>
      </c>
      <c r="AI111">
        <v>170</v>
      </c>
      <c r="AJ111" t="s">
        <v>597</v>
      </c>
      <c r="AK111" t="s">
        <v>597</v>
      </c>
      <c r="AL111">
        <v>125</v>
      </c>
      <c r="AM111">
        <v>365</v>
      </c>
      <c r="AN111">
        <v>79.599999999999994</v>
      </c>
      <c r="AO111" s="224">
        <v>20385</v>
      </c>
      <c r="AP111" s="224">
        <v>24765</v>
      </c>
      <c r="AQ111" s="224">
        <v>21839</v>
      </c>
      <c r="AR111" s="224">
        <v>47092</v>
      </c>
      <c r="AS111" s="224">
        <v>7664</v>
      </c>
      <c r="AT111" s="224">
        <v>12352</v>
      </c>
      <c r="AU111" s="224">
        <v>15884</v>
      </c>
      <c r="AV111">
        <v>161</v>
      </c>
      <c r="AW111" s="224">
        <v>4338</v>
      </c>
      <c r="AX111" s="224">
        <v>1025</v>
      </c>
      <c r="AY111" s="224">
        <v>8497</v>
      </c>
      <c r="AZ111" s="224">
        <v>1741</v>
      </c>
      <c r="BA111" s="224">
        <v>16177</v>
      </c>
      <c r="BB111" s="224">
        <v>17625</v>
      </c>
      <c r="BC111" s="225">
        <v>56056</v>
      </c>
      <c r="BD111" s="225">
        <v>29090.41</v>
      </c>
      <c r="BE111">
        <v>345.87</v>
      </c>
      <c r="BF111" s="225">
        <v>1189.81</v>
      </c>
      <c r="BG111" s="224">
        <v>3304</v>
      </c>
      <c r="BH111">
        <v>0</v>
      </c>
      <c r="BI111" s="224">
        <v>3004</v>
      </c>
      <c r="BJ111" s="224">
        <v>4310</v>
      </c>
      <c r="BK111" s="224">
        <v>1086</v>
      </c>
      <c r="BL111">
        <v>900</v>
      </c>
      <c r="BM111" s="224">
        <v>1100</v>
      </c>
      <c r="BN111">
        <v>100</v>
      </c>
      <c r="BO111">
        <v>950</v>
      </c>
      <c r="BP111">
        <v>150</v>
      </c>
      <c r="BQ111">
        <v>79</v>
      </c>
      <c r="BR111">
        <v>7</v>
      </c>
      <c r="BS111">
        <v>25</v>
      </c>
      <c r="BT111">
        <v>47</v>
      </c>
      <c r="BU111">
        <v>45</v>
      </c>
      <c r="BV111">
        <v>73</v>
      </c>
      <c r="BW111">
        <v>750</v>
      </c>
      <c r="BX111">
        <v>100</v>
      </c>
      <c r="BY111">
        <v>50</v>
      </c>
      <c r="BZ111">
        <v>175</v>
      </c>
      <c r="CA111">
        <v>20.5</v>
      </c>
      <c r="CB111">
        <v>21</v>
      </c>
      <c r="CC111">
        <v>20.2</v>
      </c>
      <c r="CD111">
        <v>83.9</v>
      </c>
      <c r="CE111">
        <v>78.099999999999994</v>
      </c>
      <c r="CF111">
        <v>7.7</v>
      </c>
      <c r="CG111">
        <v>7.4</v>
      </c>
      <c r="CH111">
        <v>89.1</v>
      </c>
      <c r="CI111">
        <v>93.3</v>
      </c>
      <c r="CJ111">
        <v>72.7</v>
      </c>
      <c r="CK111">
        <v>250</v>
      </c>
      <c r="CL111">
        <v>200</v>
      </c>
    </row>
    <row r="112" spans="1:90" ht="14.5">
      <c r="A112" t="s">
        <v>404</v>
      </c>
      <c r="B112" t="s">
        <v>405</v>
      </c>
      <c r="C112" t="s">
        <v>406</v>
      </c>
      <c r="D112" s="224">
        <v>193240</v>
      </c>
      <c r="E112" s="224">
        <v>234673</v>
      </c>
      <c r="F112" s="224">
        <v>157712</v>
      </c>
      <c r="G112" s="224">
        <v>197225</v>
      </c>
      <c r="H112" s="224">
        <v>35528</v>
      </c>
      <c r="I112" s="224">
        <v>37448</v>
      </c>
      <c r="J112" s="224">
        <v>4566</v>
      </c>
      <c r="K112" s="224">
        <v>4602</v>
      </c>
      <c r="L112">
        <v>7.7</v>
      </c>
      <c r="M112">
        <v>76.7</v>
      </c>
      <c r="N112">
        <v>80.900000000000006</v>
      </c>
      <c r="O112">
        <v>57.2</v>
      </c>
      <c r="P112">
        <v>58.2</v>
      </c>
      <c r="Q112">
        <v>660</v>
      </c>
      <c r="R112">
        <v>550</v>
      </c>
      <c r="S112" s="224">
        <v>49818</v>
      </c>
      <c r="T112">
        <v>18.5</v>
      </c>
      <c r="U112" s="224">
        <v>16087</v>
      </c>
      <c r="V112">
        <v>6</v>
      </c>
      <c r="W112" s="224">
        <v>20892</v>
      </c>
      <c r="X112">
        <v>3.5</v>
      </c>
      <c r="Y112">
        <v>2</v>
      </c>
      <c r="Z112">
        <v>2.8</v>
      </c>
      <c r="AA112" s="224">
        <v>1522</v>
      </c>
      <c r="AB112" s="224">
        <v>1510</v>
      </c>
      <c r="AC112" s="224">
        <v>4905</v>
      </c>
      <c r="AD112">
        <v>305</v>
      </c>
      <c r="AE112" s="224">
        <v>1170</v>
      </c>
      <c r="AF112" t="s">
        <v>597</v>
      </c>
      <c r="AG112" t="s">
        <v>597</v>
      </c>
      <c r="AH112">
        <v>105</v>
      </c>
      <c r="AI112" s="224">
        <v>2025</v>
      </c>
      <c r="AJ112" t="s">
        <v>597</v>
      </c>
      <c r="AK112" t="s">
        <v>597</v>
      </c>
      <c r="AL112" s="224">
        <v>1670</v>
      </c>
      <c r="AM112" s="224">
        <v>3235</v>
      </c>
      <c r="AN112">
        <v>67.8</v>
      </c>
      <c r="AO112" s="224">
        <v>129290</v>
      </c>
      <c r="AP112" s="224">
        <v>140780</v>
      </c>
      <c r="AQ112" s="224">
        <v>121137</v>
      </c>
      <c r="AR112" s="224">
        <v>352839</v>
      </c>
      <c r="AS112" s="224">
        <v>59262</v>
      </c>
      <c r="AT112" s="224">
        <v>49158</v>
      </c>
      <c r="AU112" s="224">
        <v>98714</v>
      </c>
      <c r="AV112">
        <v>655</v>
      </c>
      <c r="AW112" s="224">
        <v>30402</v>
      </c>
      <c r="AX112" s="224">
        <v>3268</v>
      </c>
      <c r="AY112" s="224">
        <v>35485</v>
      </c>
      <c r="AZ112" s="224">
        <v>4809</v>
      </c>
      <c r="BA112" s="224">
        <v>69650</v>
      </c>
      <c r="BB112" s="224">
        <v>103523</v>
      </c>
      <c r="BC112" s="225">
        <v>29402.400000000001</v>
      </c>
      <c r="BD112" s="225">
        <v>16822.57</v>
      </c>
      <c r="BE112">
        <v>303.8</v>
      </c>
      <c r="BF112" s="225">
        <v>1399.97</v>
      </c>
      <c r="BG112" s="224">
        <v>20912</v>
      </c>
      <c r="BH112">
        <v>0</v>
      </c>
      <c r="BI112">
        <v>0</v>
      </c>
      <c r="BJ112" s="224">
        <v>41172</v>
      </c>
      <c r="BK112">
        <v>0</v>
      </c>
      <c r="BL112" s="224">
        <v>5200</v>
      </c>
      <c r="BM112" s="224">
        <v>5700</v>
      </c>
      <c r="BN112">
        <v>500</v>
      </c>
      <c r="BO112" s="224">
        <v>5400</v>
      </c>
      <c r="BP112">
        <v>300</v>
      </c>
      <c r="BQ112">
        <v>80</v>
      </c>
      <c r="BR112">
        <v>6</v>
      </c>
      <c r="BS112">
        <v>20</v>
      </c>
      <c r="BT112">
        <v>34</v>
      </c>
      <c r="BU112">
        <v>44</v>
      </c>
      <c r="BV112">
        <v>68</v>
      </c>
      <c r="BW112" s="224">
        <v>4400</v>
      </c>
      <c r="BX112">
        <v>450</v>
      </c>
      <c r="BY112">
        <v>150</v>
      </c>
      <c r="BZ112">
        <v>650</v>
      </c>
      <c r="CA112">
        <v>18.899999999999999</v>
      </c>
      <c r="CB112">
        <v>19.3</v>
      </c>
      <c r="CC112">
        <v>18.5</v>
      </c>
      <c r="CD112">
        <v>78.900000000000006</v>
      </c>
      <c r="CE112">
        <v>79.099999999999994</v>
      </c>
      <c r="CF112">
        <v>6.9</v>
      </c>
      <c r="CG112">
        <v>7.6</v>
      </c>
      <c r="CH112">
        <v>67.7</v>
      </c>
      <c r="CI112">
        <v>66.599999999999994</v>
      </c>
      <c r="CJ112">
        <v>81</v>
      </c>
      <c r="CK112">
        <v>825</v>
      </c>
      <c r="CL112">
        <v>660</v>
      </c>
    </row>
    <row r="113" spans="1:90" ht="14.5">
      <c r="A113" t="s">
        <v>407</v>
      </c>
      <c r="B113" t="s">
        <v>408</v>
      </c>
      <c r="C113" t="s">
        <v>409</v>
      </c>
      <c r="D113" s="224">
        <v>245389</v>
      </c>
      <c r="E113" s="224">
        <v>266087</v>
      </c>
      <c r="F113" s="224">
        <v>196597</v>
      </c>
      <c r="G113" s="224">
        <v>214594</v>
      </c>
      <c r="H113" s="224">
        <v>48792</v>
      </c>
      <c r="I113" s="224">
        <v>51493</v>
      </c>
      <c r="J113" s="224">
        <v>6486</v>
      </c>
      <c r="K113" s="224">
        <v>6835</v>
      </c>
      <c r="L113">
        <v>8.6999999999999993</v>
      </c>
      <c r="M113">
        <v>76.7</v>
      </c>
      <c r="N113">
        <v>81.2</v>
      </c>
      <c r="O113">
        <v>52.7</v>
      </c>
      <c r="P113">
        <v>51.3</v>
      </c>
      <c r="Q113">
        <v>825</v>
      </c>
      <c r="R113">
        <v>725</v>
      </c>
      <c r="S113" s="224">
        <v>61047</v>
      </c>
      <c r="T113">
        <v>17.899999999999999</v>
      </c>
      <c r="U113" s="224">
        <v>22686</v>
      </c>
      <c r="V113">
        <v>6.6</v>
      </c>
      <c r="W113" s="224">
        <v>29593</v>
      </c>
      <c r="X113">
        <v>3.7</v>
      </c>
      <c r="Y113">
        <v>2.4</v>
      </c>
      <c r="Z113">
        <v>3.2</v>
      </c>
      <c r="AA113" s="224">
        <v>2195</v>
      </c>
      <c r="AB113" s="224">
        <v>2187</v>
      </c>
      <c r="AC113" s="224">
        <v>5100</v>
      </c>
      <c r="AD113">
        <v>345</v>
      </c>
      <c r="AE113" s="224">
        <v>1020</v>
      </c>
      <c r="AF113" t="s">
        <v>597</v>
      </c>
      <c r="AG113" t="s">
        <v>597</v>
      </c>
      <c r="AH113">
        <v>155</v>
      </c>
      <c r="AI113" s="224">
        <v>1995</v>
      </c>
      <c r="AJ113" t="s">
        <v>597</v>
      </c>
      <c r="AK113" t="s">
        <v>597</v>
      </c>
      <c r="AL113" s="224">
        <v>1620</v>
      </c>
      <c r="AM113" s="224">
        <v>3480</v>
      </c>
      <c r="AN113">
        <v>63.9</v>
      </c>
      <c r="AO113" s="224">
        <v>165155</v>
      </c>
      <c r="AP113" s="224">
        <v>165155</v>
      </c>
      <c r="AQ113" t="s">
        <v>598</v>
      </c>
      <c r="AR113" t="s">
        <v>598</v>
      </c>
      <c r="AS113" s="224">
        <v>57403</v>
      </c>
      <c r="AT113" s="224">
        <v>75943</v>
      </c>
      <c r="AU113" s="224">
        <v>133346</v>
      </c>
      <c r="AV113" s="224">
        <v>1405</v>
      </c>
      <c r="AW113" s="224">
        <v>40241</v>
      </c>
      <c r="AX113" s="224">
        <v>10824</v>
      </c>
      <c r="AY113" s="224">
        <v>54521</v>
      </c>
      <c r="AZ113" s="224">
        <v>12229</v>
      </c>
      <c r="BA113" s="224">
        <v>128333</v>
      </c>
      <c r="BB113" s="224">
        <v>145575</v>
      </c>
      <c r="BC113" s="225">
        <v>36446.300000000003</v>
      </c>
      <c r="BD113" s="225">
        <v>24865.52</v>
      </c>
      <c r="BE113">
        <v>274.04000000000002</v>
      </c>
      <c r="BF113" s="225">
        <v>1685.03</v>
      </c>
      <c r="BG113" s="224">
        <v>22784</v>
      </c>
      <c r="BH113">
        <v>183</v>
      </c>
      <c r="BI113" s="224">
        <v>20491</v>
      </c>
      <c r="BJ113" s="224">
        <v>25499</v>
      </c>
      <c r="BK113" s="224">
        <v>2049</v>
      </c>
      <c r="BL113" s="224">
        <v>8400</v>
      </c>
      <c r="BM113" s="224">
        <v>9400</v>
      </c>
      <c r="BN113">
        <v>600</v>
      </c>
      <c r="BO113" s="224">
        <v>8600</v>
      </c>
      <c r="BP113">
        <v>800</v>
      </c>
      <c r="BQ113">
        <v>79</v>
      </c>
      <c r="BR113">
        <v>4</v>
      </c>
      <c r="BS113">
        <v>20</v>
      </c>
      <c r="BT113">
        <v>36</v>
      </c>
      <c r="BU113">
        <v>44</v>
      </c>
      <c r="BV113">
        <v>55</v>
      </c>
      <c r="BW113" s="224">
        <v>7200</v>
      </c>
      <c r="BX113">
        <v>700</v>
      </c>
      <c r="BY113">
        <v>300</v>
      </c>
      <c r="BZ113" s="224">
        <v>1200</v>
      </c>
      <c r="CA113">
        <v>19.3</v>
      </c>
      <c r="CB113">
        <v>19.7</v>
      </c>
      <c r="CC113">
        <v>19.100000000000001</v>
      </c>
      <c r="CD113">
        <v>77.2</v>
      </c>
      <c r="CE113">
        <v>74.099999999999994</v>
      </c>
      <c r="CF113">
        <v>6.9</v>
      </c>
      <c r="CG113">
        <v>7.5</v>
      </c>
      <c r="CH113">
        <v>76.8</v>
      </c>
      <c r="CI113">
        <v>78.2</v>
      </c>
      <c r="CJ113">
        <v>72.8</v>
      </c>
      <c r="CK113">
        <v>840</v>
      </c>
      <c r="CL113">
        <v>750</v>
      </c>
    </row>
    <row r="114" spans="1:90" ht="14.5">
      <c r="A114" t="s">
        <v>410</v>
      </c>
      <c r="B114" t="s">
        <v>411</v>
      </c>
      <c r="C114" t="s">
        <v>412</v>
      </c>
      <c r="D114" s="224">
        <v>222644</v>
      </c>
      <c r="E114" s="224">
        <v>233108</v>
      </c>
      <c r="F114" s="224">
        <v>161065</v>
      </c>
      <c r="G114" s="224">
        <v>163577</v>
      </c>
      <c r="H114" s="224">
        <v>61579</v>
      </c>
      <c r="I114" s="224">
        <v>69531</v>
      </c>
      <c r="J114" s="224">
        <v>8457</v>
      </c>
      <c r="K114" s="224">
        <v>10133</v>
      </c>
      <c r="L114">
        <v>10.4</v>
      </c>
      <c r="M114">
        <v>78.7</v>
      </c>
      <c r="N114">
        <v>82</v>
      </c>
      <c r="O114">
        <v>59</v>
      </c>
      <c r="P114">
        <v>59.5</v>
      </c>
      <c r="Q114">
        <v>890</v>
      </c>
      <c r="R114">
        <v>770</v>
      </c>
      <c r="S114" s="224">
        <v>61134</v>
      </c>
      <c r="T114">
        <v>21.9</v>
      </c>
      <c r="U114" s="224">
        <v>19563</v>
      </c>
      <c r="V114">
        <v>7</v>
      </c>
      <c r="W114" s="224">
        <v>29022</v>
      </c>
      <c r="X114">
        <v>5</v>
      </c>
      <c r="Y114">
        <v>2.4</v>
      </c>
      <c r="Z114">
        <v>3.5</v>
      </c>
      <c r="AA114" s="224">
        <v>3557</v>
      </c>
      <c r="AB114" s="224">
        <v>3527</v>
      </c>
      <c r="AC114" s="224">
        <v>5690</v>
      </c>
      <c r="AD114">
        <v>540</v>
      </c>
      <c r="AE114" s="224">
        <v>1050</v>
      </c>
      <c r="AF114" t="s">
        <v>597</v>
      </c>
      <c r="AG114" t="s">
        <v>597</v>
      </c>
      <c r="AH114">
        <v>190</v>
      </c>
      <c r="AI114" s="224">
        <v>1910</v>
      </c>
      <c r="AJ114" t="s">
        <v>597</v>
      </c>
      <c r="AK114" t="s">
        <v>597</v>
      </c>
      <c r="AL114" s="224">
        <v>1850</v>
      </c>
      <c r="AM114" s="224">
        <v>3840</v>
      </c>
      <c r="AN114">
        <v>65.7</v>
      </c>
      <c r="AO114" s="224">
        <v>162379</v>
      </c>
      <c r="AP114" s="224">
        <v>173911</v>
      </c>
      <c r="AQ114" s="224">
        <v>139779</v>
      </c>
      <c r="AR114" s="224">
        <v>331316</v>
      </c>
      <c r="AS114" s="224">
        <v>56477</v>
      </c>
      <c r="AT114" s="224">
        <v>86265</v>
      </c>
      <c r="AU114" s="224">
        <v>130498</v>
      </c>
      <c r="AV114">
        <v>134</v>
      </c>
      <c r="AW114" s="224">
        <v>32967</v>
      </c>
      <c r="AX114" s="224">
        <v>1738</v>
      </c>
      <c r="AY114" s="224">
        <v>53323</v>
      </c>
      <c r="AZ114" s="224">
        <v>4155</v>
      </c>
      <c r="BA114" s="224">
        <v>122213</v>
      </c>
      <c r="BB114" s="224">
        <v>134653</v>
      </c>
      <c r="BC114" s="225">
        <v>29680</v>
      </c>
      <c r="BD114" s="225">
        <v>20766.93</v>
      </c>
      <c r="BE114">
        <v>346.08</v>
      </c>
      <c r="BF114" s="225">
        <v>1265.67</v>
      </c>
      <c r="BG114" s="224">
        <v>33984</v>
      </c>
      <c r="BH114">
        <v>0</v>
      </c>
      <c r="BI114" s="224">
        <v>15671</v>
      </c>
      <c r="BJ114" s="224">
        <v>37967</v>
      </c>
      <c r="BK114" s="224">
        <v>2784</v>
      </c>
      <c r="BL114" s="224">
        <v>9900</v>
      </c>
      <c r="BM114" s="224">
        <v>10500</v>
      </c>
      <c r="BN114">
        <v>750</v>
      </c>
      <c r="BO114" s="224">
        <v>10000</v>
      </c>
      <c r="BP114">
        <v>400</v>
      </c>
      <c r="BQ114">
        <v>74</v>
      </c>
      <c r="BR114">
        <v>5</v>
      </c>
      <c r="BS114">
        <v>16</v>
      </c>
      <c r="BT114">
        <v>42</v>
      </c>
      <c r="BU114">
        <v>44</v>
      </c>
      <c r="BV114">
        <v>81</v>
      </c>
      <c r="BW114" s="224">
        <v>7900</v>
      </c>
      <c r="BX114">
        <v>800</v>
      </c>
      <c r="BY114">
        <v>450</v>
      </c>
      <c r="BZ114" s="224">
        <v>1400</v>
      </c>
      <c r="CA114">
        <v>19.100000000000001</v>
      </c>
      <c r="CB114">
        <v>19.7</v>
      </c>
      <c r="CC114">
        <v>18.8</v>
      </c>
      <c r="CD114">
        <v>76.599999999999994</v>
      </c>
      <c r="CE114">
        <v>73.900000000000006</v>
      </c>
      <c r="CF114">
        <v>6.9</v>
      </c>
      <c r="CG114">
        <v>6.9</v>
      </c>
      <c r="CH114">
        <v>72.3</v>
      </c>
      <c r="CI114">
        <v>70.7</v>
      </c>
      <c r="CJ114">
        <v>82.6</v>
      </c>
      <c r="CK114" s="224">
        <v>1330</v>
      </c>
      <c r="CL114" s="224">
        <v>1235</v>
      </c>
    </row>
    <row r="115" spans="1:90" ht="14.5">
      <c r="A115" t="s">
        <v>413</v>
      </c>
      <c r="B115" t="s">
        <v>414</v>
      </c>
      <c r="C115" t="s">
        <v>415</v>
      </c>
      <c r="D115" s="224">
        <v>441969</v>
      </c>
      <c r="E115" s="224">
        <v>466102</v>
      </c>
      <c r="F115" s="224">
        <v>350152</v>
      </c>
      <c r="G115" s="224">
        <v>366979</v>
      </c>
      <c r="H115" s="224">
        <v>91817</v>
      </c>
      <c r="I115" s="224">
        <v>99123</v>
      </c>
      <c r="J115" s="224">
        <v>12492</v>
      </c>
      <c r="K115" s="224">
        <v>13865</v>
      </c>
      <c r="L115">
        <v>8.8000000000000007</v>
      </c>
      <c r="M115">
        <v>78.5</v>
      </c>
      <c r="N115">
        <v>82</v>
      </c>
      <c r="O115">
        <v>57.4</v>
      </c>
      <c r="P115">
        <v>57.4</v>
      </c>
      <c r="Q115" s="225">
        <v>1900</v>
      </c>
      <c r="R115" s="224">
        <v>1645</v>
      </c>
      <c r="S115" s="224">
        <v>109869</v>
      </c>
      <c r="T115">
        <v>19.7</v>
      </c>
      <c r="U115" s="224">
        <v>33568</v>
      </c>
      <c r="V115">
        <v>6</v>
      </c>
      <c r="W115" s="224">
        <v>49009</v>
      </c>
      <c r="X115">
        <v>4.4000000000000004</v>
      </c>
      <c r="Y115">
        <v>2</v>
      </c>
      <c r="Z115">
        <v>2.9</v>
      </c>
      <c r="AA115" s="224">
        <v>4209</v>
      </c>
      <c r="AB115" s="224">
        <v>4227</v>
      </c>
      <c r="AC115" s="224">
        <v>10700</v>
      </c>
      <c r="AD115" s="224">
        <v>1485</v>
      </c>
      <c r="AE115" s="224">
        <v>1945</v>
      </c>
      <c r="AF115" t="s">
        <v>597</v>
      </c>
      <c r="AG115" t="s">
        <v>597</v>
      </c>
      <c r="AH115">
        <v>615</v>
      </c>
      <c r="AI115" s="224">
        <v>4030</v>
      </c>
      <c r="AJ115" t="s">
        <v>597</v>
      </c>
      <c r="AK115" t="s">
        <v>597</v>
      </c>
      <c r="AL115" s="224">
        <v>3900</v>
      </c>
      <c r="AM115" s="224">
        <v>6800</v>
      </c>
      <c r="AN115">
        <v>62.6</v>
      </c>
      <c r="AO115" s="224">
        <v>314960</v>
      </c>
      <c r="AP115" s="224">
        <v>361679</v>
      </c>
      <c r="AQ115" s="224">
        <v>336409</v>
      </c>
      <c r="AR115" s="224">
        <v>603110</v>
      </c>
      <c r="AS115" s="224">
        <v>159343</v>
      </c>
      <c r="AT115" s="224">
        <v>139431</v>
      </c>
      <c r="AU115" s="224">
        <v>254810</v>
      </c>
      <c r="AV115">
        <v>288</v>
      </c>
      <c r="AW115" s="224">
        <v>90947</v>
      </c>
      <c r="AX115" s="224">
        <v>2498</v>
      </c>
      <c r="AY115" s="224">
        <v>81730</v>
      </c>
      <c r="AZ115" s="224">
        <v>2905</v>
      </c>
      <c r="BA115" s="224">
        <v>230538</v>
      </c>
      <c r="BB115" s="224">
        <v>257715</v>
      </c>
      <c r="BC115" s="225">
        <v>37052.559999999998</v>
      </c>
      <c r="BD115" s="225">
        <v>16648.53</v>
      </c>
      <c r="BE115">
        <v>434.99</v>
      </c>
      <c r="BF115" s="225">
        <v>1431.85</v>
      </c>
      <c r="BG115" s="224">
        <v>50693</v>
      </c>
      <c r="BH115">
        <v>0</v>
      </c>
      <c r="BI115" s="224">
        <v>29288</v>
      </c>
      <c r="BJ115" s="224">
        <v>31721</v>
      </c>
      <c r="BK115" s="224">
        <v>16681</v>
      </c>
      <c r="BL115" s="224">
        <v>14000</v>
      </c>
      <c r="BM115" s="224">
        <v>15500</v>
      </c>
      <c r="BN115">
        <v>700</v>
      </c>
      <c r="BO115" s="224">
        <v>14000</v>
      </c>
      <c r="BP115" s="224">
        <v>1400</v>
      </c>
      <c r="BQ115">
        <v>77</v>
      </c>
      <c r="BR115">
        <v>2</v>
      </c>
      <c r="BS115">
        <v>23</v>
      </c>
      <c r="BT115">
        <v>39</v>
      </c>
      <c r="BU115">
        <v>43</v>
      </c>
      <c r="BV115">
        <v>64</v>
      </c>
      <c r="BW115" s="224">
        <v>11500</v>
      </c>
      <c r="BX115" s="224">
        <v>1200</v>
      </c>
      <c r="BY115">
        <v>700</v>
      </c>
      <c r="BZ115" s="224">
        <v>2000</v>
      </c>
      <c r="CA115">
        <v>18.7</v>
      </c>
      <c r="CB115">
        <v>19.5</v>
      </c>
      <c r="CC115">
        <v>18.100000000000001</v>
      </c>
      <c r="CD115">
        <v>78.400000000000006</v>
      </c>
      <c r="CE115">
        <v>70.400000000000006</v>
      </c>
      <c r="CF115">
        <v>7.4</v>
      </c>
      <c r="CG115">
        <v>7.7</v>
      </c>
      <c r="CH115">
        <v>65.400000000000006</v>
      </c>
      <c r="CI115">
        <v>64.900000000000006</v>
      </c>
      <c r="CJ115">
        <v>85.7</v>
      </c>
      <c r="CK115" s="224">
        <v>16585</v>
      </c>
      <c r="CL115" s="224">
        <v>14200</v>
      </c>
    </row>
    <row r="116" spans="1:90" ht="14.5">
      <c r="A116" t="s">
        <v>416</v>
      </c>
      <c r="B116" t="s">
        <v>417</v>
      </c>
      <c r="C116" t="s">
        <v>418</v>
      </c>
      <c r="D116" s="224">
        <v>251703</v>
      </c>
      <c r="E116" s="224">
        <v>274036</v>
      </c>
      <c r="F116" s="224">
        <v>178805</v>
      </c>
      <c r="G116" s="224">
        <v>183885</v>
      </c>
      <c r="H116" s="224">
        <v>72898</v>
      </c>
      <c r="I116" s="224">
        <v>90151</v>
      </c>
      <c r="J116" s="224">
        <v>9622</v>
      </c>
      <c r="K116" s="224">
        <v>12697</v>
      </c>
      <c r="L116">
        <v>9.1</v>
      </c>
      <c r="M116">
        <v>80.400000000000006</v>
      </c>
      <c r="N116">
        <v>84</v>
      </c>
      <c r="O116">
        <v>63</v>
      </c>
      <c r="P116">
        <v>62.4</v>
      </c>
      <c r="Q116">
        <v>815</v>
      </c>
      <c r="R116">
        <v>710</v>
      </c>
      <c r="S116" s="224">
        <v>59990</v>
      </c>
      <c r="T116">
        <v>18.5</v>
      </c>
      <c r="U116" s="224">
        <v>16445</v>
      </c>
      <c r="V116">
        <v>5.0999999999999996</v>
      </c>
      <c r="W116" s="224">
        <v>29704</v>
      </c>
      <c r="X116">
        <v>5.0999999999999996</v>
      </c>
      <c r="Y116">
        <v>1.8</v>
      </c>
      <c r="Z116">
        <v>2.8</v>
      </c>
      <c r="AA116" s="224">
        <v>3725</v>
      </c>
      <c r="AB116" s="224">
        <v>3873</v>
      </c>
      <c r="AC116" s="224">
        <v>5775</v>
      </c>
      <c r="AD116">
        <v>380</v>
      </c>
      <c r="AE116" s="224">
        <v>1585</v>
      </c>
      <c r="AF116" t="s">
        <v>597</v>
      </c>
      <c r="AG116">
        <v>10</v>
      </c>
      <c r="AH116">
        <v>175</v>
      </c>
      <c r="AI116" s="224">
        <v>1745</v>
      </c>
      <c r="AJ116" t="s">
        <v>597</v>
      </c>
      <c r="AK116">
        <v>60</v>
      </c>
      <c r="AL116" s="224">
        <v>2175</v>
      </c>
      <c r="AM116" s="224">
        <v>3600</v>
      </c>
      <c r="AN116">
        <v>67.900000000000006</v>
      </c>
      <c r="AO116" s="224">
        <v>196331</v>
      </c>
      <c r="AP116" s="224">
        <v>217327</v>
      </c>
      <c r="AQ116" s="224">
        <v>181147</v>
      </c>
      <c r="AR116" s="224">
        <v>296332</v>
      </c>
      <c r="AS116" s="224">
        <v>78520</v>
      </c>
      <c r="AT116" s="224">
        <v>99897</v>
      </c>
      <c r="AU116" s="224">
        <v>161574</v>
      </c>
      <c r="AV116" s="224">
        <v>2215</v>
      </c>
      <c r="AW116" s="224">
        <v>50457</v>
      </c>
      <c r="AX116" s="224">
        <v>8111</v>
      </c>
      <c r="AY116" s="224">
        <v>77610</v>
      </c>
      <c r="AZ116" s="224">
        <v>8975</v>
      </c>
      <c r="BA116" s="224">
        <v>153204</v>
      </c>
      <c r="BB116" s="224">
        <v>170549</v>
      </c>
      <c r="BC116" s="225">
        <v>33357.699999999997</v>
      </c>
      <c r="BD116" s="225">
        <v>27221.11</v>
      </c>
      <c r="BE116">
        <v>439.05</v>
      </c>
      <c r="BF116" s="225">
        <v>1198.08</v>
      </c>
      <c r="BG116" s="224">
        <v>36164</v>
      </c>
      <c r="BH116">
        <v>38</v>
      </c>
      <c r="BI116" s="224">
        <v>11172</v>
      </c>
      <c r="BJ116" s="224">
        <v>31020</v>
      </c>
      <c r="BK116" s="224">
        <v>5824</v>
      </c>
      <c r="BL116" s="224">
        <v>10000</v>
      </c>
      <c r="BM116" s="224">
        <v>11000</v>
      </c>
      <c r="BN116">
        <v>600</v>
      </c>
      <c r="BO116" s="224">
        <v>10500</v>
      </c>
      <c r="BP116">
        <v>800</v>
      </c>
      <c r="BQ116">
        <v>81</v>
      </c>
      <c r="BR116">
        <v>4</v>
      </c>
      <c r="BS116">
        <v>16</v>
      </c>
      <c r="BT116">
        <v>48</v>
      </c>
      <c r="BU116">
        <v>44</v>
      </c>
      <c r="BV116">
        <v>81</v>
      </c>
      <c r="BW116" s="224">
        <v>8200</v>
      </c>
      <c r="BX116">
        <v>900</v>
      </c>
      <c r="BY116">
        <v>500</v>
      </c>
      <c r="BZ116" s="224">
        <v>1500</v>
      </c>
      <c r="CA116">
        <v>19.3</v>
      </c>
      <c r="CB116">
        <v>20.100000000000001</v>
      </c>
      <c r="CC116">
        <v>18.7</v>
      </c>
      <c r="CD116">
        <v>79.900000000000006</v>
      </c>
      <c r="CE116">
        <v>75.400000000000006</v>
      </c>
      <c r="CF116">
        <v>6.5</v>
      </c>
      <c r="CG116">
        <v>6.7</v>
      </c>
      <c r="CH116">
        <v>75.900000000000006</v>
      </c>
      <c r="CI116">
        <v>73.3</v>
      </c>
      <c r="CJ116">
        <v>78.5</v>
      </c>
      <c r="CK116">
        <v>620</v>
      </c>
      <c r="CL116">
        <v>580</v>
      </c>
    </row>
    <row r="117" spans="1:90" ht="14.5">
      <c r="A117" t="s">
        <v>419</v>
      </c>
      <c r="B117" t="s">
        <v>420</v>
      </c>
      <c r="C117" t="s">
        <v>421</v>
      </c>
      <c r="D117" s="224">
        <v>109268</v>
      </c>
      <c r="E117" s="224">
        <v>122356</v>
      </c>
      <c r="F117" s="224">
        <v>95515</v>
      </c>
      <c r="G117" s="224">
        <v>105576</v>
      </c>
      <c r="H117" s="224">
        <v>13753</v>
      </c>
      <c r="I117" s="224">
        <v>16780</v>
      </c>
      <c r="J117" s="224">
        <v>1755</v>
      </c>
      <c r="K117" s="224">
        <v>1996</v>
      </c>
      <c r="L117">
        <v>6.4</v>
      </c>
      <c r="M117">
        <v>77.900000000000006</v>
      </c>
      <c r="N117">
        <v>82.6</v>
      </c>
      <c r="O117">
        <v>60.1</v>
      </c>
      <c r="P117">
        <v>61.8</v>
      </c>
      <c r="Q117">
        <v>345</v>
      </c>
      <c r="R117">
        <v>320</v>
      </c>
      <c r="S117" s="224">
        <v>17975</v>
      </c>
      <c r="T117">
        <v>11.3</v>
      </c>
      <c r="U117" s="224">
        <v>5939</v>
      </c>
      <c r="V117">
        <v>3.7</v>
      </c>
      <c r="W117" s="224">
        <v>10144</v>
      </c>
      <c r="X117">
        <v>3.1</v>
      </c>
      <c r="Y117">
        <v>1.8</v>
      </c>
      <c r="Z117">
        <v>2</v>
      </c>
      <c r="AA117">
        <v>564</v>
      </c>
      <c r="AB117">
        <v>570</v>
      </c>
      <c r="AC117" s="224">
        <v>2035</v>
      </c>
      <c r="AD117">
        <v>310</v>
      </c>
      <c r="AE117" t="s">
        <v>597</v>
      </c>
      <c r="AF117">
        <v>455</v>
      </c>
      <c r="AG117" t="s">
        <v>597</v>
      </c>
      <c r="AH117">
        <v>210</v>
      </c>
      <c r="AI117" t="s">
        <v>597</v>
      </c>
      <c r="AJ117">
        <v>685</v>
      </c>
      <c r="AK117" t="s">
        <v>597</v>
      </c>
      <c r="AL117">
        <v>845</v>
      </c>
      <c r="AM117" s="224">
        <v>1190</v>
      </c>
      <c r="AN117">
        <v>58.3</v>
      </c>
      <c r="AO117" s="224">
        <v>67842</v>
      </c>
      <c r="AP117" s="224">
        <v>71326</v>
      </c>
      <c r="AQ117" s="224">
        <v>64772</v>
      </c>
      <c r="AR117" s="224">
        <v>160293</v>
      </c>
      <c r="AS117" s="224">
        <v>29748</v>
      </c>
      <c r="AT117" s="224">
        <v>30240</v>
      </c>
      <c r="AU117" s="224">
        <v>47837</v>
      </c>
      <c r="AV117">
        <v>796</v>
      </c>
      <c r="AW117" s="224">
        <v>13379</v>
      </c>
      <c r="AX117" s="224">
        <v>1732</v>
      </c>
      <c r="AY117" s="224">
        <v>16021</v>
      </c>
      <c r="AZ117" s="224">
        <v>1559</v>
      </c>
      <c r="BA117" s="224">
        <v>57141</v>
      </c>
      <c r="BB117" s="224">
        <v>49396</v>
      </c>
      <c r="BC117" s="225">
        <v>28260.36</v>
      </c>
      <c r="BD117" s="225">
        <v>21442.02</v>
      </c>
      <c r="BE117">
        <v>289.31</v>
      </c>
      <c r="BF117" s="225">
        <v>1905.36</v>
      </c>
      <c r="BG117" s="224">
        <v>6555</v>
      </c>
      <c r="BH117">
        <v>0</v>
      </c>
      <c r="BI117" s="224">
        <v>9103</v>
      </c>
      <c r="BJ117" s="224">
        <v>9742</v>
      </c>
      <c r="BK117">
        <v>248</v>
      </c>
      <c r="BL117" s="224">
        <v>2200</v>
      </c>
      <c r="BM117" s="224">
        <v>2700</v>
      </c>
      <c r="BN117">
        <v>225</v>
      </c>
      <c r="BO117" s="224">
        <v>2400</v>
      </c>
      <c r="BP117">
        <v>225</v>
      </c>
      <c r="BQ117">
        <v>80</v>
      </c>
      <c r="BR117">
        <v>14</v>
      </c>
      <c r="BS117">
        <v>47</v>
      </c>
      <c r="BT117">
        <v>32</v>
      </c>
      <c r="BU117">
        <v>41</v>
      </c>
      <c r="BV117">
        <v>26</v>
      </c>
      <c r="BW117" s="224">
        <v>2000</v>
      </c>
      <c r="BX117">
        <v>275</v>
      </c>
      <c r="BY117">
        <v>150</v>
      </c>
      <c r="BZ117">
        <v>250</v>
      </c>
      <c r="CA117">
        <v>17.399999999999999</v>
      </c>
      <c r="CB117">
        <v>18.399999999999999</v>
      </c>
      <c r="CC117">
        <v>16.899999999999999</v>
      </c>
      <c r="CD117">
        <v>65.3</v>
      </c>
      <c r="CE117">
        <v>56.4</v>
      </c>
      <c r="CF117">
        <v>6.5</v>
      </c>
      <c r="CG117">
        <v>6.7</v>
      </c>
      <c r="CH117">
        <v>61.6</v>
      </c>
      <c r="CI117">
        <v>67.7</v>
      </c>
      <c r="CJ117">
        <v>69.2</v>
      </c>
      <c r="CK117">
        <v>550</v>
      </c>
      <c r="CL117">
        <v>530</v>
      </c>
    </row>
    <row r="118" spans="1:90" ht="14.5">
      <c r="A118" t="s">
        <v>422</v>
      </c>
      <c r="B118" t="s">
        <v>423</v>
      </c>
      <c r="C118" t="s">
        <v>424</v>
      </c>
      <c r="D118" s="224">
        <v>166108</v>
      </c>
      <c r="E118" s="224">
        <v>172615</v>
      </c>
      <c r="F118" s="224">
        <v>122234</v>
      </c>
      <c r="G118" s="224">
        <v>124953</v>
      </c>
      <c r="H118" s="224">
        <v>43874</v>
      </c>
      <c r="I118" s="224">
        <v>47662</v>
      </c>
      <c r="J118" s="224">
        <v>6436</v>
      </c>
      <c r="K118" s="224">
        <v>7277</v>
      </c>
      <c r="L118">
        <v>9.1999999999999993</v>
      </c>
      <c r="M118">
        <v>80.2</v>
      </c>
      <c r="N118">
        <v>84.3</v>
      </c>
      <c r="O118">
        <v>63.2</v>
      </c>
      <c r="P118">
        <v>62.9</v>
      </c>
      <c r="Q118">
        <v>630</v>
      </c>
      <c r="R118">
        <v>565</v>
      </c>
      <c r="S118" s="224">
        <v>37234</v>
      </c>
      <c r="T118">
        <v>17.2</v>
      </c>
      <c r="U118" s="224">
        <v>10725</v>
      </c>
      <c r="V118">
        <v>5</v>
      </c>
      <c r="W118" s="224">
        <v>19940</v>
      </c>
      <c r="X118">
        <v>4.9000000000000004</v>
      </c>
      <c r="Y118">
        <v>1.9</v>
      </c>
      <c r="Z118">
        <v>2.9</v>
      </c>
      <c r="AA118" s="224">
        <v>2179</v>
      </c>
      <c r="AB118" s="224">
        <v>2410</v>
      </c>
      <c r="AC118" s="224">
        <v>3320</v>
      </c>
      <c r="AD118">
        <v>405</v>
      </c>
      <c r="AE118">
        <v>560</v>
      </c>
      <c r="AF118" t="s">
        <v>597</v>
      </c>
      <c r="AG118" t="s">
        <v>597</v>
      </c>
      <c r="AH118">
        <v>140</v>
      </c>
      <c r="AI118" s="224">
        <v>1185</v>
      </c>
      <c r="AJ118" t="s">
        <v>597</v>
      </c>
      <c r="AK118" t="s">
        <v>597</v>
      </c>
      <c r="AL118" s="224">
        <v>1135</v>
      </c>
      <c r="AM118" s="224">
        <v>2185</v>
      </c>
      <c r="AN118">
        <v>67.8</v>
      </c>
      <c r="AO118" s="224">
        <v>118653</v>
      </c>
      <c r="AP118" s="224">
        <v>126140</v>
      </c>
      <c r="AQ118" s="224">
        <v>106401</v>
      </c>
      <c r="AR118" s="224">
        <v>194528</v>
      </c>
      <c r="AS118" s="224">
        <v>47497</v>
      </c>
      <c r="AT118" s="224">
        <v>55684</v>
      </c>
      <c r="AU118" s="224">
        <v>93928</v>
      </c>
      <c r="AV118" s="224">
        <v>1023</v>
      </c>
      <c r="AW118" s="224">
        <v>27497</v>
      </c>
      <c r="AX118" s="224">
        <v>4105</v>
      </c>
      <c r="AY118" s="224">
        <v>35807</v>
      </c>
      <c r="AZ118" s="224">
        <v>4240</v>
      </c>
      <c r="BA118" s="224">
        <v>90152</v>
      </c>
      <c r="BB118" s="224">
        <v>98168</v>
      </c>
      <c r="BC118" s="225">
        <v>37193.83</v>
      </c>
      <c r="BD118" s="225">
        <v>25607.78</v>
      </c>
      <c r="BE118">
        <v>388.31</v>
      </c>
      <c r="BF118" s="225">
        <v>1254.44</v>
      </c>
      <c r="BG118" s="224">
        <v>19019</v>
      </c>
      <c r="BH118">
        <v>0</v>
      </c>
      <c r="BI118" s="224">
        <v>11235</v>
      </c>
      <c r="BJ118" s="224">
        <v>24898</v>
      </c>
      <c r="BK118" s="224">
        <v>1122</v>
      </c>
      <c r="BL118" s="224">
        <v>5200</v>
      </c>
      <c r="BM118" s="224">
        <v>5800</v>
      </c>
      <c r="BN118">
        <v>225</v>
      </c>
      <c r="BO118" s="224">
        <v>5400</v>
      </c>
      <c r="BP118">
        <v>475</v>
      </c>
      <c r="BQ118">
        <v>84</v>
      </c>
      <c r="BR118">
        <v>5</v>
      </c>
      <c r="BS118">
        <v>26</v>
      </c>
      <c r="BT118">
        <v>39</v>
      </c>
      <c r="BU118">
        <v>44</v>
      </c>
      <c r="BV118">
        <v>55</v>
      </c>
      <c r="BW118" s="224">
        <v>4300</v>
      </c>
      <c r="BX118">
        <v>500</v>
      </c>
      <c r="BY118">
        <v>250</v>
      </c>
      <c r="BZ118">
        <v>800</v>
      </c>
      <c r="CA118">
        <v>19.399999999999999</v>
      </c>
      <c r="CB118">
        <v>19.7</v>
      </c>
      <c r="CC118">
        <v>19.2</v>
      </c>
      <c r="CD118">
        <v>82.4</v>
      </c>
      <c r="CE118">
        <v>77.900000000000006</v>
      </c>
      <c r="CF118">
        <v>7.1</v>
      </c>
      <c r="CG118">
        <v>7.6</v>
      </c>
      <c r="CH118">
        <v>73.2</v>
      </c>
      <c r="CI118">
        <v>75.3</v>
      </c>
      <c r="CJ118">
        <v>95.1</v>
      </c>
      <c r="CK118" s="224">
        <v>2575</v>
      </c>
      <c r="CL118" s="224">
        <v>2525</v>
      </c>
    </row>
    <row r="119" spans="1:90" ht="14.5">
      <c r="A119" t="s">
        <v>425</v>
      </c>
      <c r="B119" t="s">
        <v>426</v>
      </c>
      <c r="C119" t="s">
        <v>427</v>
      </c>
      <c r="D119" s="224">
        <v>439556</v>
      </c>
      <c r="E119" s="224">
        <v>479822</v>
      </c>
      <c r="F119" s="224">
        <v>311876</v>
      </c>
      <c r="G119" s="224">
        <v>326908</v>
      </c>
      <c r="H119" s="224">
        <v>127680</v>
      </c>
      <c r="I119" s="224">
        <v>152914</v>
      </c>
      <c r="J119" s="224">
        <v>18403</v>
      </c>
      <c r="K119" s="224">
        <v>21019</v>
      </c>
      <c r="L119">
        <v>8.6999999999999993</v>
      </c>
      <c r="M119">
        <v>80.2</v>
      </c>
      <c r="N119">
        <v>84.1</v>
      </c>
      <c r="O119">
        <v>62.8</v>
      </c>
      <c r="P119">
        <v>63</v>
      </c>
      <c r="Q119" s="225">
        <v>1475</v>
      </c>
      <c r="R119" s="224">
        <v>1320</v>
      </c>
      <c r="S119" s="224">
        <v>106515</v>
      </c>
      <c r="T119">
        <v>18.600000000000001</v>
      </c>
      <c r="U119" s="224">
        <v>29228</v>
      </c>
      <c r="V119">
        <v>5.0999999999999996</v>
      </c>
      <c r="W119" s="224">
        <v>49934</v>
      </c>
      <c r="X119">
        <v>4.8</v>
      </c>
      <c r="Y119">
        <v>1.7</v>
      </c>
      <c r="Z119">
        <v>2.7</v>
      </c>
      <c r="AA119" s="224">
        <v>6121</v>
      </c>
      <c r="AB119" s="224">
        <v>6374</v>
      </c>
      <c r="AC119" s="224">
        <v>9110</v>
      </c>
      <c r="AD119" s="224">
        <v>1240</v>
      </c>
      <c r="AE119" s="224">
        <v>1460</v>
      </c>
      <c r="AF119">
        <v>35</v>
      </c>
      <c r="AG119" t="s">
        <v>597</v>
      </c>
      <c r="AH119">
        <v>920</v>
      </c>
      <c r="AI119" s="224">
        <v>2290</v>
      </c>
      <c r="AJ119">
        <v>65</v>
      </c>
      <c r="AK119" t="s">
        <v>597</v>
      </c>
      <c r="AL119" s="224">
        <v>3150</v>
      </c>
      <c r="AM119" s="224">
        <v>5960</v>
      </c>
      <c r="AN119">
        <v>67.7</v>
      </c>
      <c r="AO119" s="224">
        <v>318471</v>
      </c>
      <c r="AP119" s="224">
        <v>316427</v>
      </c>
      <c r="AQ119" s="224">
        <v>286794</v>
      </c>
      <c r="AR119" s="224">
        <v>545848</v>
      </c>
      <c r="AS119" s="224">
        <v>121886</v>
      </c>
      <c r="AT119" s="224">
        <v>156760</v>
      </c>
      <c r="AU119" s="224">
        <v>264306</v>
      </c>
      <c r="AV119" s="224">
        <v>2969</v>
      </c>
      <c r="AW119" s="224">
        <v>83891</v>
      </c>
      <c r="AX119" s="224">
        <v>7991</v>
      </c>
      <c r="AY119" s="224">
        <v>116645</v>
      </c>
      <c r="AZ119" s="224">
        <v>21845</v>
      </c>
      <c r="BA119" s="224">
        <v>270588</v>
      </c>
      <c r="BB119" s="224">
        <v>286151</v>
      </c>
      <c r="BC119" s="225">
        <v>38662.54</v>
      </c>
      <c r="BD119" s="225">
        <v>27577.85</v>
      </c>
      <c r="BE119">
        <v>381.93</v>
      </c>
      <c r="BF119" s="225">
        <v>1077.4100000000001</v>
      </c>
      <c r="BG119" s="224">
        <v>41445</v>
      </c>
      <c r="BH119" s="224">
        <v>4166</v>
      </c>
      <c r="BI119" s="224">
        <v>17134</v>
      </c>
      <c r="BJ119" s="224">
        <v>36074</v>
      </c>
      <c r="BK119" s="224">
        <v>18061</v>
      </c>
      <c r="BL119" s="224">
        <v>15000</v>
      </c>
      <c r="BM119" s="224">
        <v>16000</v>
      </c>
      <c r="BN119" s="224">
        <v>1200</v>
      </c>
      <c r="BO119" s="224">
        <v>15500</v>
      </c>
      <c r="BP119">
        <v>500</v>
      </c>
      <c r="BQ119">
        <v>78</v>
      </c>
      <c r="BR119">
        <v>5</v>
      </c>
      <c r="BS119">
        <v>21</v>
      </c>
      <c r="BT119">
        <v>44</v>
      </c>
      <c r="BU119">
        <v>43</v>
      </c>
      <c r="BV119">
        <v>72</v>
      </c>
      <c r="BW119" s="224">
        <v>11500</v>
      </c>
      <c r="BX119" s="224">
        <v>1200</v>
      </c>
      <c r="BY119">
        <v>750</v>
      </c>
      <c r="BZ119" s="224">
        <v>2400</v>
      </c>
      <c r="CA119">
        <v>19.2</v>
      </c>
      <c r="CB119">
        <v>19.899999999999999</v>
      </c>
      <c r="CC119">
        <v>18.8</v>
      </c>
      <c r="CD119">
        <v>76.3</v>
      </c>
      <c r="CE119">
        <v>70.3</v>
      </c>
      <c r="CF119">
        <v>7</v>
      </c>
      <c r="CG119">
        <v>7.3</v>
      </c>
      <c r="CH119">
        <v>66.8</v>
      </c>
      <c r="CI119">
        <v>68.8</v>
      </c>
      <c r="CJ119">
        <v>84.5</v>
      </c>
      <c r="CK119" s="224">
        <v>4150</v>
      </c>
      <c r="CL119" s="224">
        <v>4105</v>
      </c>
    </row>
    <row r="120" spans="1:90" ht="14.5">
      <c r="A120" t="s">
        <v>428</v>
      </c>
      <c r="B120" t="s">
        <v>429</v>
      </c>
      <c r="C120" t="s">
        <v>430</v>
      </c>
      <c r="D120" s="224">
        <v>215219</v>
      </c>
      <c r="E120" s="224">
        <v>246641</v>
      </c>
      <c r="F120" s="224">
        <v>164994</v>
      </c>
      <c r="G120" s="224">
        <v>188226</v>
      </c>
      <c r="H120" s="224">
        <v>50225</v>
      </c>
      <c r="I120" s="224">
        <v>58415</v>
      </c>
      <c r="J120" s="224">
        <v>6320</v>
      </c>
      <c r="K120" s="224">
        <v>8614</v>
      </c>
      <c r="L120">
        <v>8.1</v>
      </c>
      <c r="M120">
        <v>81</v>
      </c>
      <c r="N120">
        <v>84.7</v>
      </c>
      <c r="O120">
        <v>64.2</v>
      </c>
      <c r="P120">
        <v>64</v>
      </c>
      <c r="Q120">
        <v>895</v>
      </c>
      <c r="R120">
        <v>810</v>
      </c>
      <c r="S120" s="224">
        <v>47429</v>
      </c>
      <c r="T120">
        <v>16.3</v>
      </c>
      <c r="U120" s="224">
        <v>12227</v>
      </c>
      <c r="V120">
        <v>4.2</v>
      </c>
      <c r="W120" s="224">
        <v>23652</v>
      </c>
      <c r="X120">
        <v>4.7</v>
      </c>
      <c r="Y120">
        <v>1.5</v>
      </c>
      <c r="Z120">
        <v>2.2999999999999998</v>
      </c>
      <c r="AA120" s="224">
        <v>2534</v>
      </c>
      <c r="AB120" s="224">
        <v>2571</v>
      </c>
      <c r="AC120" s="224">
        <v>4315</v>
      </c>
      <c r="AD120">
        <v>675</v>
      </c>
      <c r="AE120">
        <v>870</v>
      </c>
      <c r="AF120" t="s">
        <v>597</v>
      </c>
      <c r="AG120" t="s">
        <v>597</v>
      </c>
      <c r="AH120">
        <v>180</v>
      </c>
      <c r="AI120" s="224">
        <v>1235</v>
      </c>
      <c r="AJ120" t="s">
        <v>597</v>
      </c>
      <c r="AK120" t="s">
        <v>597</v>
      </c>
      <c r="AL120" s="224">
        <v>1795</v>
      </c>
      <c r="AM120" s="224">
        <v>2520</v>
      </c>
      <c r="AN120">
        <v>72.099999999999994</v>
      </c>
      <c r="AO120" s="224">
        <v>176412</v>
      </c>
      <c r="AP120" s="224">
        <v>192584</v>
      </c>
      <c r="AQ120" s="224">
        <v>165698</v>
      </c>
      <c r="AR120" s="224">
        <v>282535</v>
      </c>
      <c r="AS120" s="224">
        <v>81620</v>
      </c>
      <c r="AT120" s="224">
        <v>72942</v>
      </c>
      <c r="AU120" s="224">
        <v>140805</v>
      </c>
      <c r="AV120" s="224">
        <v>2084</v>
      </c>
      <c r="AW120" s="224">
        <v>50054</v>
      </c>
      <c r="AX120" s="224">
        <v>4768</v>
      </c>
      <c r="AY120" s="224">
        <v>42737</v>
      </c>
      <c r="AZ120" s="224">
        <v>6649</v>
      </c>
      <c r="BA120" s="224">
        <v>135329</v>
      </c>
      <c r="BB120" s="224">
        <v>147454</v>
      </c>
      <c r="BC120" s="225">
        <v>42485.24</v>
      </c>
      <c r="BD120" s="225">
        <v>28251.19</v>
      </c>
      <c r="BE120">
        <v>444.7</v>
      </c>
      <c r="BF120" s="225">
        <v>1330.31</v>
      </c>
      <c r="BG120" s="224">
        <v>26902</v>
      </c>
      <c r="BH120">
        <v>0</v>
      </c>
      <c r="BI120" s="224">
        <v>12160</v>
      </c>
      <c r="BJ120" s="224">
        <v>18414</v>
      </c>
      <c r="BK120">
        <v>492</v>
      </c>
      <c r="BL120" s="224">
        <v>7400</v>
      </c>
      <c r="BM120" s="224">
        <v>8400</v>
      </c>
      <c r="BN120">
        <v>600</v>
      </c>
      <c r="BO120" s="224">
        <v>7800</v>
      </c>
      <c r="BP120">
        <v>600</v>
      </c>
      <c r="BQ120">
        <v>76</v>
      </c>
      <c r="BR120">
        <v>6</v>
      </c>
      <c r="BS120">
        <v>30</v>
      </c>
      <c r="BT120">
        <v>46</v>
      </c>
      <c r="BU120">
        <v>43</v>
      </c>
      <c r="BV120">
        <v>64</v>
      </c>
      <c r="BW120" s="224">
        <v>6100</v>
      </c>
      <c r="BX120">
        <v>750</v>
      </c>
      <c r="BY120">
        <v>400</v>
      </c>
      <c r="BZ120" s="224">
        <v>1200</v>
      </c>
      <c r="CA120">
        <v>19.399999999999999</v>
      </c>
      <c r="CB120">
        <v>19.5</v>
      </c>
      <c r="CC120">
        <v>19.3</v>
      </c>
      <c r="CD120">
        <v>84.1</v>
      </c>
      <c r="CE120">
        <v>81.900000000000006</v>
      </c>
      <c r="CF120">
        <v>7.2</v>
      </c>
      <c r="CG120">
        <v>7.7</v>
      </c>
      <c r="CH120">
        <v>67.099999999999994</v>
      </c>
      <c r="CI120">
        <v>69.7</v>
      </c>
      <c r="CJ120">
        <v>89.7</v>
      </c>
      <c r="CK120">
        <v>860</v>
      </c>
      <c r="CL120">
        <v>880</v>
      </c>
    </row>
    <row r="121" spans="1:90" ht="14.5">
      <c r="A121" t="s">
        <v>431</v>
      </c>
      <c r="B121" t="s">
        <v>432</v>
      </c>
      <c r="C121" t="s">
        <v>433</v>
      </c>
      <c r="D121" s="224">
        <v>118363</v>
      </c>
      <c r="E121" s="224">
        <v>121048</v>
      </c>
      <c r="F121" s="224">
        <v>89290</v>
      </c>
      <c r="G121" s="224">
        <v>87826</v>
      </c>
      <c r="H121" s="224">
        <v>29073</v>
      </c>
      <c r="I121" s="224">
        <v>33222</v>
      </c>
      <c r="J121" s="224">
        <v>3867</v>
      </c>
      <c r="K121" s="224">
        <v>4111</v>
      </c>
      <c r="L121">
        <v>10.1</v>
      </c>
      <c r="M121">
        <v>76.8</v>
      </c>
      <c r="N121">
        <v>81</v>
      </c>
      <c r="O121">
        <v>55.9</v>
      </c>
      <c r="P121">
        <v>55.8</v>
      </c>
      <c r="Q121">
        <v>480</v>
      </c>
      <c r="R121">
        <v>405</v>
      </c>
      <c r="S121" s="224">
        <v>33368</v>
      </c>
      <c r="T121">
        <v>22.6</v>
      </c>
      <c r="U121" s="224">
        <v>11323</v>
      </c>
      <c r="V121">
        <v>7.7</v>
      </c>
      <c r="W121" s="224">
        <v>14882</v>
      </c>
      <c r="X121">
        <v>4.5</v>
      </c>
      <c r="Y121">
        <v>2.5</v>
      </c>
      <c r="Z121">
        <v>3.6</v>
      </c>
      <c r="AA121" s="224">
        <v>1357</v>
      </c>
      <c r="AB121" s="224">
        <v>1340</v>
      </c>
      <c r="AC121" s="224">
        <v>3210</v>
      </c>
      <c r="AD121">
        <v>335</v>
      </c>
      <c r="AE121" t="s">
        <v>597</v>
      </c>
      <c r="AF121" t="s">
        <v>597</v>
      </c>
      <c r="AG121">
        <v>345</v>
      </c>
      <c r="AH121">
        <v>155</v>
      </c>
      <c r="AI121" t="s">
        <v>597</v>
      </c>
      <c r="AJ121" t="s">
        <v>597</v>
      </c>
      <c r="AK121" s="224">
        <v>1225</v>
      </c>
      <c r="AL121">
        <v>830</v>
      </c>
      <c r="AM121" s="224">
        <v>2380</v>
      </c>
      <c r="AN121">
        <v>70</v>
      </c>
      <c r="AO121" s="224">
        <v>100518</v>
      </c>
      <c r="AP121" s="224">
        <v>113026</v>
      </c>
      <c r="AQ121" s="224">
        <v>93645</v>
      </c>
      <c r="AR121" s="224">
        <v>144098</v>
      </c>
      <c r="AS121" s="224">
        <v>37647</v>
      </c>
      <c r="AT121" s="224">
        <v>46145</v>
      </c>
      <c r="AU121" s="224">
        <v>77680</v>
      </c>
      <c r="AV121" s="224">
        <v>1453</v>
      </c>
      <c r="AW121" s="224">
        <v>26033</v>
      </c>
      <c r="AX121" s="224">
        <v>8601</v>
      </c>
      <c r="AY121" s="224">
        <v>32387</v>
      </c>
      <c r="AZ121" s="224">
        <v>4890</v>
      </c>
      <c r="BA121" s="224">
        <v>78732</v>
      </c>
      <c r="BB121" s="224">
        <v>82570</v>
      </c>
      <c r="BC121" s="225">
        <v>39419.279999999999</v>
      </c>
      <c r="BD121" s="225">
        <v>20946.22</v>
      </c>
      <c r="BE121">
        <v>445.2</v>
      </c>
      <c r="BF121" s="225">
        <v>1647.88</v>
      </c>
      <c r="BG121" s="224">
        <v>19381</v>
      </c>
      <c r="BH121">
        <v>0</v>
      </c>
      <c r="BI121" s="224">
        <v>6611</v>
      </c>
      <c r="BJ121" s="224">
        <v>14954</v>
      </c>
      <c r="BK121">
        <v>405</v>
      </c>
      <c r="BL121" s="224">
        <v>2600</v>
      </c>
      <c r="BM121" s="224">
        <v>2800</v>
      </c>
      <c r="BN121">
        <v>100</v>
      </c>
      <c r="BO121" s="224">
        <v>2500</v>
      </c>
      <c r="BP121">
        <v>350</v>
      </c>
      <c r="BQ121">
        <v>82</v>
      </c>
      <c r="BR121">
        <v>2</v>
      </c>
      <c r="BS121">
        <v>12</v>
      </c>
      <c r="BT121">
        <v>37</v>
      </c>
      <c r="BU121">
        <v>45</v>
      </c>
      <c r="BV121">
        <v>85</v>
      </c>
      <c r="BW121" s="224">
        <v>1900</v>
      </c>
      <c r="BX121">
        <v>275</v>
      </c>
      <c r="BY121">
        <v>150</v>
      </c>
      <c r="BZ121">
        <v>550</v>
      </c>
      <c r="CA121">
        <v>19.5</v>
      </c>
      <c r="CB121">
        <v>20.6</v>
      </c>
      <c r="CC121">
        <v>18.8</v>
      </c>
      <c r="CD121">
        <v>77.8</v>
      </c>
      <c r="CE121">
        <v>73.400000000000006</v>
      </c>
      <c r="CF121">
        <v>7</v>
      </c>
      <c r="CG121">
        <v>7.4</v>
      </c>
      <c r="CH121">
        <v>74.400000000000006</v>
      </c>
      <c r="CI121">
        <v>76</v>
      </c>
      <c r="CJ121">
        <v>96.9</v>
      </c>
      <c r="CK121">
        <v>275</v>
      </c>
      <c r="CL121">
        <v>250</v>
      </c>
    </row>
    <row r="122" spans="1:90" ht="14.5">
      <c r="A122" t="s">
        <v>434</v>
      </c>
      <c r="B122" t="s">
        <v>435</v>
      </c>
      <c r="C122" t="s">
        <v>436</v>
      </c>
      <c r="D122" s="224">
        <v>196409</v>
      </c>
      <c r="E122" s="224">
        <v>210514</v>
      </c>
      <c r="F122" s="224">
        <v>163638</v>
      </c>
      <c r="G122" s="224">
        <v>174323</v>
      </c>
      <c r="H122" s="224">
        <v>32771</v>
      </c>
      <c r="I122" s="224">
        <v>36191</v>
      </c>
      <c r="J122" s="224">
        <v>4780</v>
      </c>
      <c r="K122" s="224">
        <v>4564</v>
      </c>
      <c r="L122">
        <v>7.3</v>
      </c>
      <c r="M122">
        <v>78</v>
      </c>
      <c r="N122">
        <v>82.6</v>
      </c>
      <c r="O122">
        <v>57.6</v>
      </c>
      <c r="P122">
        <v>59</v>
      </c>
      <c r="Q122">
        <v>610</v>
      </c>
      <c r="R122">
        <v>525</v>
      </c>
      <c r="S122" s="224">
        <v>43937</v>
      </c>
      <c r="T122">
        <v>17.7</v>
      </c>
      <c r="U122" s="224">
        <v>12369</v>
      </c>
      <c r="V122">
        <v>5</v>
      </c>
      <c r="W122" s="224">
        <v>18138</v>
      </c>
      <c r="X122">
        <v>3.6</v>
      </c>
      <c r="Y122">
        <v>1.7</v>
      </c>
      <c r="Z122">
        <v>2.4</v>
      </c>
      <c r="AA122" s="224">
        <v>1450</v>
      </c>
      <c r="AB122" s="224">
        <v>1512</v>
      </c>
      <c r="AC122" s="224">
        <v>3290</v>
      </c>
      <c r="AD122">
        <v>185</v>
      </c>
      <c r="AE122">
        <v>860</v>
      </c>
      <c r="AF122" t="s">
        <v>597</v>
      </c>
      <c r="AG122" t="s">
        <v>597</v>
      </c>
      <c r="AH122">
        <v>75</v>
      </c>
      <c r="AI122" s="224">
        <v>1150</v>
      </c>
      <c r="AJ122" t="s">
        <v>597</v>
      </c>
      <c r="AK122" t="s">
        <v>597</v>
      </c>
      <c r="AL122" s="224">
        <v>1240</v>
      </c>
      <c r="AM122" s="224">
        <v>2050</v>
      </c>
      <c r="AN122">
        <v>68.400000000000006</v>
      </c>
      <c r="AO122" s="224">
        <v>121374</v>
      </c>
      <c r="AP122" s="224">
        <v>124893</v>
      </c>
      <c r="AQ122" s="224">
        <v>117464</v>
      </c>
      <c r="AR122" s="224">
        <v>195888</v>
      </c>
      <c r="AS122" s="224">
        <v>45394</v>
      </c>
      <c r="AT122" s="224">
        <v>43056</v>
      </c>
      <c r="AU122" s="224">
        <v>81933</v>
      </c>
      <c r="AV122" s="224">
        <v>2138</v>
      </c>
      <c r="AW122" s="224">
        <v>27754</v>
      </c>
      <c r="AX122" s="224">
        <v>4872</v>
      </c>
      <c r="AY122" s="224">
        <v>26384</v>
      </c>
      <c r="AZ122" s="224">
        <v>7946</v>
      </c>
      <c r="BA122" s="224">
        <v>90608</v>
      </c>
      <c r="BB122" s="224">
        <v>89879</v>
      </c>
      <c r="BC122" s="225">
        <v>35728.230000000003</v>
      </c>
      <c r="BD122" s="225">
        <v>22232.2</v>
      </c>
      <c r="BE122">
        <v>272.67</v>
      </c>
      <c r="BF122" s="225">
        <v>1324.31</v>
      </c>
      <c r="BG122" s="224">
        <v>18354</v>
      </c>
      <c r="BH122">
        <v>0</v>
      </c>
      <c r="BI122" s="224">
        <v>12787</v>
      </c>
      <c r="BJ122" s="224">
        <v>16061</v>
      </c>
      <c r="BK122" s="224">
        <v>9950</v>
      </c>
      <c r="BL122" s="224">
        <v>5500</v>
      </c>
      <c r="BM122" s="224">
        <v>5900</v>
      </c>
      <c r="BN122">
        <v>400</v>
      </c>
      <c r="BO122" s="224">
        <v>5400</v>
      </c>
      <c r="BP122">
        <v>550</v>
      </c>
      <c r="BQ122">
        <v>78</v>
      </c>
      <c r="BR122">
        <v>5</v>
      </c>
      <c r="BS122">
        <v>31</v>
      </c>
      <c r="BT122">
        <v>43</v>
      </c>
      <c r="BU122">
        <v>42</v>
      </c>
      <c r="BV122">
        <v>65</v>
      </c>
      <c r="BW122" s="224">
        <v>4500</v>
      </c>
      <c r="BX122">
        <v>550</v>
      </c>
      <c r="BY122">
        <v>225</v>
      </c>
      <c r="BZ122">
        <v>650</v>
      </c>
      <c r="CA122">
        <v>19.5</v>
      </c>
      <c r="CB122">
        <v>20</v>
      </c>
      <c r="CC122">
        <v>19.100000000000001</v>
      </c>
      <c r="CD122">
        <v>82.1</v>
      </c>
      <c r="CE122">
        <v>81</v>
      </c>
      <c r="CF122">
        <v>7.3</v>
      </c>
      <c r="CG122">
        <v>7.8</v>
      </c>
      <c r="CH122">
        <v>74.599999999999994</v>
      </c>
      <c r="CI122">
        <v>73.7</v>
      </c>
      <c r="CJ122">
        <v>80.400000000000006</v>
      </c>
      <c r="CK122" s="224">
        <v>2735</v>
      </c>
      <c r="CL122" s="224">
        <v>2470</v>
      </c>
    </row>
    <row r="123" spans="1:90" ht="14.5">
      <c r="A123" t="s">
        <v>437</v>
      </c>
      <c r="B123" t="s">
        <v>438</v>
      </c>
      <c r="C123" t="s">
        <v>439</v>
      </c>
      <c r="D123" s="224">
        <v>141162</v>
      </c>
      <c r="E123" s="224">
        <v>146265</v>
      </c>
      <c r="F123" s="224">
        <v>107391</v>
      </c>
      <c r="G123" s="224">
        <v>109751</v>
      </c>
      <c r="H123" s="224">
        <v>33771</v>
      </c>
      <c r="I123" s="224">
        <v>36514</v>
      </c>
      <c r="J123" s="224">
        <v>5339</v>
      </c>
      <c r="K123" s="224">
        <v>5372</v>
      </c>
      <c r="L123">
        <v>8.3000000000000007</v>
      </c>
      <c r="M123">
        <v>78.7</v>
      </c>
      <c r="N123">
        <v>82.9</v>
      </c>
      <c r="O123">
        <v>61.3</v>
      </c>
      <c r="P123">
        <v>61.4</v>
      </c>
      <c r="Q123">
        <v>615</v>
      </c>
      <c r="R123">
        <v>515</v>
      </c>
      <c r="S123" s="224">
        <v>33106</v>
      </c>
      <c r="T123">
        <v>18.3</v>
      </c>
      <c r="U123" s="224">
        <v>10071</v>
      </c>
      <c r="V123">
        <v>5.6</v>
      </c>
      <c r="W123" s="224">
        <v>15019</v>
      </c>
      <c r="X123">
        <v>4.3</v>
      </c>
      <c r="Y123">
        <v>1.8</v>
      </c>
      <c r="Z123">
        <v>2.7</v>
      </c>
      <c r="AA123" s="224">
        <v>1790</v>
      </c>
      <c r="AB123" s="224">
        <v>1874</v>
      </c>
      <c r="AC123" s="224">
        <v>3335</v>
      </c>
      <c r="AD123">
        <v>370</v>
      </c>
      <c r="AE123">
        <v>505</v>
      </c>
      <c r="AF123">
        <v>65</v>
      </c>
      <c r="AG123" t="s">
        <v>597</v>
      </c>
      <c r="AH123">
        <v>185</v>
      </c>
      <c r="AI123" s="224">
        <v>1395</v>
      </c>
      <c r="AJ123">
        <v>15</v>
      </c>
      <c r="AK123" t="s">
        <v>597</v>
      </c>
      <c r="AL123" s="224">
        <v>1040</v>
      </c>
      <c r="AM123" s="224">
        <v>2295</v>
      </c>
      <c r="AN123">
        <v>66.3</v>
      </c>
      <c r="AO123" s="224">
        <v>93848</v>
      </c>
      <c r="AP123" s="224">
        <v>103741</v>
      </c>
      <c r="AQ123" s="224">
        <v>82303</v>
      </c>
      <c r="AR123" s="224">
        <v>191715</v>
      </c>
      <c r="AS123" s="224">
        <v>37027</v>
      </c>
      <c r="AT123" s="224">
        <v>43146</v>
      </c>
      <c r="AU123" s="224">
        <v>70700</v>
      </c>
      <c r="AV123">
        <v>89</v>
      </c>
      <c r="AW123" s="224">
        <v>21482</v>
      </c>
      <c r="AX123" s="224">
        <v>3415</v>
      </c>
      <c r="AY123" s="224">
        <v>36472</v>
      </c>
      <c r="AZ123" s="224">
        <v>4478</v>
      </c>
      <c r="BA123" s="224">
        <v>66911</v>
      </c>
      <c r="BB123" s="224">
        <v>75178</v>
      </c>
      <c r="BC123" s="225">
        <v>31776.92</v>
      </c>
      <c r="BD123" s="225">
        <v>18357.3</v>
      </c>
      <c r="BE123">
        <v>338.18</v>
      </c>
      <c r="BF123" s="225">
        <v>1275.1500000000001</v>
      </c>
      <c r="BG123" s="224">
        <v>19581</v>
      </c>
      <c r="BH123">
        <v>927</v>
      </c>
      <c r="BI123" s="224">
        <v>8305</v>
      </c>
      <c r="BJ123" s="224">
        <v>9917</v>
      </c>
      <c r="BK123">
        <v>894</v>
      </c>
      <c r="BL123" s="224">
        <v>4900</v>
      </c>
      <c r="BM123" s="224">
        <v>5300</v>
      </c>
      <c r="BN123">
        <v>375</v>
      </c>
      <c r="BO123" s="224">
        <v>5100</v>
      </c>
      <c r="BP123">
        <v>250</v>
      </c>
      <c r="BQ123">
        <v>77</v>
      </c>
      <c r="BR123">
        <v>3</v>
      </c>
      <c r="BS123">
        <v>34</v>
      </c>
      <c r="BT123">
        <v>38</v>
      </c>
      <c r="BU123">
        <v>44</v>
      </c>
      <c r="BV123">
        <v>56</v>
      </c>
      <c r="BW123" s="224">
        <v>4000</v>
      </c>
      <c r="BX123">
        <v>475</v>
      </c>
      <c r="BY123">
        <v>175</v>
      </c>
      <c r="BZ123">
        <v>650</v>
      </c>
      <c r="CA123">
        <v>19.3</v>
      </c>
      <c r="CB123">
        <v>20</v>
      </c>
      <c r="CC123">
        <v>18.899999999999999</v>
      </c>
      <c r="CD123">
        <v>78.599999999999994</v>
      </c>
      <c r="CE123">
        <v>74.2</v>
      </c>
      <c r="CF123">
        <v>8.6</v>
      </c>
      <c r="CG123">
        <v>8.5</v>
      </c>
      <c r="CH123">
        <v>75.900000000000006</v>
      </c>
      <c r="CI123">
        <v>75.8</v>
      </c>
      <c r="CJ123">
        <v>82.7</v>
      </c>
      <c r="CK123">
        <v>685</v>
      </c>
      <c r="CL123" s="224">
        <v>1270</v>
      </c>
    </row>
    <row r="124" spans="1:90" ht="14.5">
      <c r="A124" t="s">
        <v>440</v>
      </c>
      <c r="B124" t="s">
        <v>441</v>
      </c>
      <c r="C124" t="s">
        <v>442</v>
      </c>
      <c r="D124" s="224">
        <v>243588</v>
      </c>
      <c r="E124" s="224">
        <v>259986</v>
      </c>
      <c r="F124" s="224">
        <v>219997</v>
      </c>
      <c r="G124" s="224">
        <v>230017</v>
      </c>
      <c r="H124" s="224">
        <v>23591</v>
      </c>
      <c r="I124" s="224">
        <v>29969</v>
      </c>
      <c r="J124" s="224">
        <v>3072</v>
      </c>
      <c r="K124" s="224">
        <v>3226</v>
      </c>
      <c r="L124">
        <v>6.1</v>
      </c>
      <c r="M124">
        <v>79.400000000000006</v>
      </c>
      <c r="N124">
        <v>83.7</v>
      </c>
      <c r="O124">
        <v>62.6</v>
      </c>
      <c r="P124">
        <v>62.7</v>
      </c>
      <c r="Q124">
        <v>665</v>
      </c>
      <c r="R124">
        <v>590</v>
      </c>
      <c r="S124" s="224">
        <v>42022</v>
      </c>
      <c r="T124">
        <v>13.7</v>
      </c>
      <c r="U124" s="224">
        <v>12686</v>
      </c>
      <c r="V124">
        <v>4.0999999999999996</v>
      </c>
      <c r="W124" s="224">
        <v>18822</v>
      </c>
      <c r="X124">
        <v>3.2</v>
      </c>
      <c r="Y124">
        <v>1.6</v>
      </c>
      <c r="Z124">
        <v>1.7</v>
      </c>
      <c r="AA124">
        <v>549</v>
      </c>
      <c r="AB124">
        <v>521</v>
      </c>
      <c r="AC124" s="224">
        <v>5000</v>
      </c>
      <c r="AD124">
        <v>380</v>
      </c>
      <c r="AE124" s="224">
        <v>1175</v>
      </c>
      <c r="AF124" t="s">
        <v>597</v>
      </c>
      <c r="AG124">
        <v>450</v>
      </c>
      <c r="AH124">
        <v>125</v>
      </c>
      <c r="AI124" s="224">
        <v>1875</v>
      </c>
      <c r="AJ124" t="s">
        <v>597</v>
      </c>
      <c r="AK124">
        <v>60</v>
      </c>
      <c r="AL124" s="224">
        <v>2245</v>
      </c>
      <c r="AM124" s="224">
        <v>2755</v>
      </c>
      <c r="AN124">
        <v>61.9</v>
      </c>
      <c r="AO124" s="224">
        <v>136826</v>
      </c>
      <c r="AP124" s="224">
        <v>149357</v>
      </c>
      <c r="AQ124" s="224">
        <v>136318</v>
      </c>
      <c r="AR124" s="224">
        <v>339459</v>
      </c>
      <c r="AS124" s="224">
        <v>60746</v>
      </c>
      <c r="AT124" s="224">
        <v>51775</v>
      </c>
      <c r="AU124" s="224">
        <v>102661</v>
      </c>
      <c r="AV124">
        <v>171</v>
      </c>
      <c r="AW124" s="224">
        <v>33760</v>
      </c>
      <c r="AX124" s="224">
        <v>2730</v>
      </c>
      <c r="AY124" s="224">
        <v>38198</v>
      </c>
      <c r="AZ124" s="224">
        <v>2213</v>
      </c>
      <c r="BA124" s="224">
        <v>96701</v>
      </c>
      <c r="BB124" s="224">
        <v>104874</v>
      </c>
      <c r="BC124" s="225">
        <v>25392.43</v>
      </c>
      <c r="BD124" s="225">
        <v>17374.95</v>
      </c>
      <c r="BE124">
        <v>264.83999999999997</v>
      </c>
      <c r="BF124" s="225">
        <v>1818.71</v>
      </c>
      <c r="BG124" s="224">
        <v>15393</v>
      </c>
      <c r="BH124">
        <v>0</v>
      </c>
      <c r="BI124" s="224">
        <v>21704</v>
      </c>
      <c r="BJ124" s="224">
        <v>27158</v>
      </c>
      <c r="BK124">
        <v>609</v>
      </c>
      <c r="BL124" s="224">
        <v>5200</v>
      </c>
      <c r="BM124" s="224">
        <v>6400</v>
      </c>
      <c r="BN124">
        <v>325</v>
      </c>
      <c r="BO124" s="224">
        <v>5900</v>
      </c>
      <c r="BP124">
        <v>475</v>
      </c>
      <c r="BQ124">
        <v>77</v>
      </c>
      <c r="BR124">
        <v>7</v>
      </c>
      <c r="BS124">
        <v>26</v>
      </c>
      <c r="BT124">
        <v>38</v>
      </c>
      <c r="BU124">
        <v>47</v>
      </c>
      <c r="BV124">
        <v>19</v>
      </c>
      <c r="BW124" s="224">
        <v>4800</v>
      </c>
      <c r="BX124">
        <v>650</v>
      </c>
      <c r="BY124">
        <v>225</v>
      </c>
      <c r="BZ124">
        <v>750</v>
      </c>
      <c r="CA124">
        <v>18.3</v>
      </c>
      <c r="CB124">
        <v>18.3</v>
      </c>
      <c r="CC124">
        <v>18.3</v>
      </c>
      <c r="CD124">
        <v>69</v>
      </c>
      <c r="CE124">
        <v>70.5</v>
      </c>
      <c r="CF124">
        <v>7.2</v>
      </c>
      <c r="CG124">
        <v>7.4</v>
      </c>
      <c r="CH124">
        <v>63.4</v>
      </c>
      <c r="CI124">
        <v>65</v>
      </c>
      <c r="CJ124">
        <v>80</v>
      </c>
      <c r="CK124" s="224">
        <v>2230</v>
      </c>
      <c r="CL124">
        <v>740</v>
      </c>
    </row>
    <row r="125" spans="1:90" ht="14.5">
      <c r="A125" t="s">
        <v>443</v>
      </c>
      <c r="B125" t="s">
        <v>444</v>
      </c>
      <c r="C125" t="s">
        <v>445</v>
      </c>
      <c r="D125" s="224">
        <v>141999</v>
      </c>
      <c r="E125" s="224">
        <v>152532</v>
      </c>
      <c r="F125" s="224">
        <v>106538</v>
      </c>
      <c r="G125" s="224">
        <v>113247</v>
      </c>
      <c r="H125" s="224">
        <v>35461</v>
      </c>
      <c r="I125" s="224">
        <v>39285</v>
      </c>
      <c r="J125" s="224">
        <v>3788</v>
      </c>
      <c r="K125" s="224">
        <v>4928</v>
      </c>
      <c r="L125">
        <v>11.2</v>
      </c>
      <c r="M125">
        <v>77.5</v>
      </c>
      <c r="N125">
        <v>81</v>
      </c>
      <c r="O125">
        <v>55.7</v>
      </c>
      <c r="P125">
        <v>56</v>
      </c>
      <c r="Q125">
        <v>625</v>
      </c>
      <c r="R125">
        <v>570</v>
      </c>
      <c r="S125" s="224">
        <v>40829</v>
      </c>
      <c r="T125">
        <v>22.3</v>
      </c>
      <c r="U125" s="224">
        <v>13762</v>
      </c>
      <c r="V125">
        <v>7.5</v>
      </c>
      <c r="W125" s="224">
        <v>20524</v>
      </c>
      <c r="X125">
        <v>5.0999999999999996</v>
      </c>
      <c r="Y125">
        <v>2.7</v>
      </c>
      <c r="Z125">
        <v>4</v>
      </c>
      <c r="AA125" s="224">
        <v>1411</v>
      </c>
      <c r="AB125" s="224">
        <v>1411</v>
      </c>
      <c r="AC125" s="224">
        <v>4365</v>
      </c>
      <c r="AD125">
        <v>545</v>
      </c>
      <c r="AE125">
        <v>540</v>
      </c>
      <c r="AF125">
        <v>30</v>
      </c>
      <c r="AG125" t="s">
        <v>597</v>
      </c>
      <c r="AH125">
        <v>115</v>
      </c>
      <c r="AI125" s="224">
        <v>2200</v>
      </c>
      <c r="AJ125" t="s">
        <v>597</v>
      </c>
      <c r="AK125" t="s">
        <v>597</v>
      </c>
      <c r="AL125" s="224">
        <v>1225</v>
      </c>
      <c r="AM125" s="224">
        <v>3140</v>
      </c>
      <c r="AN125">
        <v>73.900000000000006</v>
      </c>
      <c r="AO125" s="224">
        <v>108719</v>
      </c>
      <c r="AP125" s="224">
        <v>121344</v>
      </c>
      <c r="AQ125" s="224">
        <v>91189</v>
      </c>
      <c r="AR125" s="224">
        <v>197930</v>
      </c>
      <c r="AS125" s="224">
        <v>56595</v>
      </c>
      <c r="AT125" s="224">
        <v>45106</v>
      </c>
      <c r="AU125" s="224">
        <v>87221</v>
      </c>
      <c r="AV125">
        <v>967</v>
      </c>
      <c r="AW125" s="224">
        <v>35988</v>
      </c>
      <c r="AX125" s="224">
        <v>6214</v>
      </c>
      <c r="AY125" s="224">
        <v>24988</v>
      </c>
      <c r="AZ125" s="224">
        <v>6618</v>
      </c>
      <c r="BA125" s="224">
        <v>85198</v>
      </c>
      <c r="BB125" s="224">
        <v>93839</v>
      </c>
      <c r="BC125" s="225">
        <v>40609.800000000003</v>
      </c>
      <c r="BD125" s="225">
        <v>14042.04</v>
      </c>
      <c r="BE125">
        <v>508.29</v>
      </c>
      <c r="BF125" s="225">
        <v>1306.3499999999999</v>
      </c>
      <c r="BG125" s="224">
        <v>26178</v>
      </c>
      <c r="BH125">
        <v>0</v>
      </c>
      <c r="BI125" s="224">
        <v>16846</v>
      </c>
      <c r="BJ125" s="224">
        <v>19283</v>
      </c>
      <c r="BK125">
        <v>571</v>
      </c>
      <c r="BL125" s="224">
        <v>4600</v>
      </c>
      <c r="BM125" s="224">
        <v>4900</v>
      </c>
      <c r="BN125">
        <v>250</v>
      </c>
      <c r="BO125" s="224">
        <v>4300</v>
      </c>
      <c r="BP125">
        <v>550</v>
      </c>
      <c r="BQ125">
        <v>82</v>
      </c>
      <c r="BR125">
        <v>2</v>
      </c>
      <c r="BS125">
        <v>8</v>
      </c>
      <c r="BT125">
        <v>43</v>
      </c>
      <c r="BU125">
        <v>44</v>
      </c>
      <c r="BV125">
        <v>89</v>
      </c>
      <c r="BW125" s="224">
        <v>3600</v>
      </c>
      <c r="BX125">
        <v>375</v>
      </c>
      <c r="BY125">
        <v>175</v>
      </c>
      <c r="BZ125">
        <v>700</v>
      </c>
      <c r="CA125">
        <v>19.2</v>
      </c>
      <c r="CB125">
        <v>19.600000000000001</v>
      </c>
      <c r="CC125">
        <v>19</v>
      </c>
      <c r="CD125">
        <v>81.2</v>
      </c>
      <c r="CE125">
        <v>80.3</v>
      </c>
      <c r="CF125">
        <v>7.2</v>
      </c>
      <c r="CG125">
        <v>7.8</v>
      </c>
      <c r="CH125">
        <v>74.2</v>
      </c>
      <c r="CI125">
        <v>75.3</v>
      </c>
      <c r="CJ125">
        <v>89.2</v>
      </c>
      <c r="CK125" s="224">
        <v>2140</v>
      </c>
      <c r="CL125" s="224">
        <v>1810</v>
      </c>
    </row>
    <row r="126" spans="1:90" ht="14.5">
      <c r="A126" t="s">
        <v>446</v>
      </c>
      <c r="B126" t="s">
        <v>447</v>
      </c>
      <c r="C126" t="s">
        <v>448</v>
      </c>
      <c r="D126" s="224">
        <v>689746</v>
      </c>
      <c r="E126" s="224">
        <v>739118</v>
      </c>
      <c r="F126" s="224">
        <v>510803</v>
      </c>
      <c r="G126" s="224">
        <v>530436</v>
      </c>
      <c r="H126" s="224">
        <v>178943</v>
      </c>
      <c r="I126" s="224">
        <v>208682</v>
      </c>
      <c r="J126" s="224">
        <v>20955</v>
      </c>
      <c r="K126" s="224">
        <v>27519</v>
      </c>
      <c r="L126">
        <v>9.3000000000000007</v>
      </c>
      <c r="M126">
        <v>79.900000000000006</v>
      </c>
      <c r="N126">
        <v>83.5</v>
      </c>
      <c r="O126">
        <v>63</v>
      </c>
      <c r="P126">
        <v>62.5</v>
      </c>
      <c r="Q126" s="225">
        <v>2115</v>
      </c>
      <c r="R126" s="224">
        <v>1905</v>
      </c>
      <c r="S126" s="224">
        <v>164750</v>
      </c>
      <c r="T126">
        <v>18.8</v>
      </c>
      <c r="U126" s="224">
        <v>47928</v>
      </c>
      <c r="V126">
        <v>5.5</v>
      </c>
      <c r="W126" s="224">
        <v>81783</v>
      </c>
      <c r="X126">
        <v>5.0999999999999996</v>
      </c>
      <c r="Y126">
        <v>1.9</v>
      </c>
      <c r="Z126">
        <v>2.9</v>
      </c>
      <c r="AA126" s="224">
        <v>8455</v>
      </c>
      <c r="AB126" s="224">
        <v>9144</v>
      </c>
      <c r="AC126" s="224">
        <v>12775</v>
      </c>
      <c r="AD126" s="224">
        <v>1165</v>
      </c>
      <c r="AE126" s="224">
        <v>1450</v>
      </c>
      <c r="AF126">
        <v>205</v>
      </c>
      <c r="AG126" t="s">
        <v>597</v>
      </c>
      <c r="AH126">
        <v>540</v>
      </c>
      <c r="AI126" s="224">
        <v>4295</v>
      </c>
      <c r="AJ126">
        <v>140</v>
      </c>
      <c r="AK126" t="s">
        <v>597</v>
      </c>
      <c r="AL126" s="224">
        <v>3525</v>
      </c>
      <c r="AM126" s="224">
        <v>9250</v>
      </c>
      <c r="AN126">
        <v>67.8</v>
      </c>
      <c r="AO126" s="224">
        <v>433606</v>
      </c>
      <c r="AP126" s="224">
        <v>460377</v>
      </c>
      <c r="AQ126" s="224">
        <v>369185</v>
      </c>
      <c r="AR126" s="224">
        <v>600065</v>
      </c>
      <c r="AS126" s="224">
        <v>163620</v>
      </c>
      <c r="AT126" s="224">
        <v>247650</v>
      </c>
      <c r="AU126" s="224">
        <v>385819</v>
      </c>
      <c r="AV126">
        <v>136</v>
      </c>
      <c r="AW126" s="224">
        <v>99000</v>
      </c>
      <c r="AX126" s="224">
        <v>2395</v>
      </c>
      <c r="AY126" s="224">
        <v>168262</v>
      </c>
      <c r="AZ126" s="224">
        <v>3094</v>
      </c>
      <c r="BA126" s="224">
        <v>355830</v>
      </c>
      <c r="BB126" s="224">
        <v>388913</v>
      </c>
      <c r="BC126" s="225">
        <v>41293.33</v>
      </c>
      <c r="BD126" s="225">
        <v>26308.54</v>
      </c>
      <c r="BE126">
        <v>308.72000000000003</v>
      </c>
      <c r="BF126" s="225">
        <v>1198.21</v>
      </c>
      <c r="BG126" s="224">
        <v>91729</v>
      </c>
      <c r="BH126">
        <v>0</v>
      </c>
      <c r="BI126" s="224">
        <v>28089</v>
      </c>
      <c r="BJ126" s="224">
        <v>75932</v>
      </c>
      <c r="BK126" s="224">
        <v>5951</v>
      </c>
      <c r="BL126" s="224">
        <v>20500</v>
      </c>
      <c r="BM126" s="224">
        <v>21500</v>
      </c>
      <c r="BN126" s="224">
        <v>2200</v>
      </c>
      <c r="BO126" s="224">
        <v>21000</v>
      </c>
      <c r="BP126">
        <v>900</v>
      </c>
      <c r="BQ126">
        <v>84</v>
      </c>
      <c r="BR126">
        <v>3</v>
      </c>
      <c r="BS126">
        <v>16</v>
      </c>
      <c r="BT126">
        <v>49</v>
      </c>
      <c r="BU126">
        <v>43</v>
      </c>
      <c r="BV126">
        <v>79</v>
      </c>
      <c r="BW126" s="224">
        <v>16000</v>
      </c>
      <c r="BX126" s="224">
        <v>1700</v>
      </c>
      <c r="BY126">
        <v>850</v>
      </c>
      <c r="BZ126" s="224">
        <v>3200</v>
      </c>
      <c r="CA126">
        <v>19.2</v>
      </c>
      <c r="CB126">
        <v>19.600000000000001</v>
      </c>
      <c r="CC126">
        <v>19</v>
      </c>
      <c r="CD126">
        <v>79.900000000000006</v>
      </c>
      <c r="CE126">
        <v>77.2</v>
      </c>
      <c r="CF126">
        <v>7.8</v>
      </c>
      <c r="CG126">
        <v>7.8</v>
      </c>
      <c r="CH126">
        <v>73.3</v>
      </c>
      <c r="CI126">
        <v>75.400000000000006</v>
      </c>
      <c r="CJ126">
        <v>77</v>
      </c>
      <c r="CK126" s="224">
        <v>7245</v>
      </c>
      <c r="CL126" s="224">
        <v>7345</v>
      </c>
    </row>
    <row r="127" spans="1:90" ht="14.5">
      <c r="A127" t="s">
        <v>449</v>
      </c>
      <c r="B127" t="s">
        <v>450</v>
      </c>
      <c r="C127" t="s">
        <v>451</v>
      </c>
      <c r="D127" s="224">
        <v>227010</v>
      </c>
      <c r="E127" s="224">
        <v>240398</v>
      </c>
      <c r="F127" s="224">
        <v>170630</v>
      </c>
      <c r="G127" s="224">
        <v>178185</v>
      </c>
      <c r="H127" s="224">
        <v>56380</v>
      </c>
      <c r="I127" s="224">
        <v>62213</v>
      </c>
      <c r="J127" s="224">
        <v>7535</v>
      </c>
      <c r="K127" s="224">
        <v>9085</v>
      </c>
      <c r="L127">
        <v>8.9</v>
      </c>
      <c r="M127">
        <v>79.5</v>
      </c>
      <c r="N127">
        <v>83.4</v>
      </c>
      <c r="O127">
        <v>61.8</v>
      </c>
      <c r="P127">
        <v>63.1</v>
      </c>
      <c r="Q127">
        <v>700</v>
      </c>
      <c r="R127">
        <v>645</v>
      </c>
      <c r="S127" s="224">
        <v>53493</v>
      </c>
      <c r="T127">
        <v>18.100000000000001</v>
      </c>
      <c r="U127" s="224">
        <v>15599</v>
      </c>
      <c r="V127">
        <v>5.3</v>
      </c>
      <c r="W127" s="224">
        <v>26203</v>
      </c>
      <c r="X127">
        <v>4.9000000000000004</v>
      </c>
      <c r="Y127">
        <v>1.8</v>
      </c>
      <c r="Z127">
        <v>2.7</v>
      </c>
      <c r="AA127" s="224">
        <v>2534</v>
      </c>
      <c r="AB127" s="224">
        <v>2677</v>
      </c>
      <c r="AC127" s="224">
        <v>5150</v>
      </c>
      <c r="AD127">
        <v>595</v>
      </c>
      <c r="AE127" t="s">
        <v>597</v>
      </c>
      <c r="AF127" t="s">
        <v>597</v>
      </c>
      <c r="AG127">
        <v>725</v>
      </c>
      <c r="AH127">
        <v>165</v>
      </c>
      <c r="AI127" t="s">
        <v>597</v>
      </c>
      <c r="AJ127" t="s">
        <v>597</v>
      </c>
      <c r="AK127" s="224">
        <v>2090</v>
      </c>
      <c r="AL127" s="224">
        <v>1490</v>
      </c>
      <c r="AM127" s="224">
        <v>3660</v>
      </c>
      <c r="AN127">
        <v>62.6</v>
      </c>
      <c r="AO127" s="224">
        <v>171827</v>
      </c>
      <c r="AP127" s="224">
        <v>180050</v>
      </c>
      <c r="AQ127" s="224">
        <v>152487</v>
      </c>
      <c r="AR127" s="224">
        <v>329506</v>
      </c>
      <c r="AS127" s="224">
        <v>70736</v>
      </c>
      <c r="AT127" s="224">
        <v>70961</v>
      </c>
      <c r="AU127" s="224">
        <v>135153</v>
      </c>
      <c r="AV127" s="224">
        <v>2401</v>
      </c>
      <c r="AW127" s="224">
        <v>47191</v>
      </c>
      <c r="AX127" s="224">
        <v>6077</v>
      </c>
      <c r="AY127" s="224">
        <v>52608</v>
      </c>
      <c r="AZ127" s="224">
        <v>10914</v>
      </c>
      <c r="BA127" s="224">
        <v>131365</v>
      </c>
      <c r="BB127" s="224">
        <v>146067</v>
      </c>
      <c r="BC127" s="225">
        <v>46791.95</v>
      </c>
      <c r="BD127" s="225">
        <v>20859.84</v>
      </c>
      <c r="BE127">
        <v>410.46</v>
      </c>
      <c r="BF127" s="225">
        <v>1238.29</v>
      </c>
      <c r="BG127" s="224">
        <v>27958</v>
      </c>
      <c r="BH127" s="224">
        <v>3906</v>
      </c>
      <c r="BI127" s="224">
        <v>18850</v>
      </c>
      <c r="BJ127" s="224">
        <v>25732</v>
      </c>
      <c r="BK127">
        <v>353</v>
      </c>
      <c r="BL127" s="224">
        <v>7300</v>
      </c>
      <c r="BM127" s="224">
        <v>7900</v>
      </c>
      <c r="BN127">
        <v>425</v>
      </c>
      <c r="BO127" s="224">
        <v>7300</v>
      </c>
      <c r="BP127">
        <v>650</v>
      </c>
      <c r="BQ127">
        <v>78</v>
      </c>
      <c r="BR127">
        <v>5</v>
      </c>
      <c r="BS127">
        <v>22</v>
      </c>
      <c r="BT127">
        <v>45</v>
      </c>
      <c r="BU127">
        <v>43</v>
      </c>
      <c r="BV127">
        <v>62</v>
      </c>
      <c r="BW127" s="224">
        <v>6000</v>
      </c>
      <c r="BX127">
        <v>600</v>
      </c>
      <c r="BY127">
        <v>325</v>
      </c>
      <c r="BZ127" s="224">
        <v>1000</v>
      </c>
      <c r="CA127">
        <v>18.899999999999999</v>
      </c>
      <c r="CB127">
        <v>19.5</v>
      </c>
      <c r="CC127">
        <v>18.600000000000001</v>
      </c>
      <c r="CD127">
        <v>79.3</v>
      </c>
      <c r="CE127">
        <v>75.2</v>
      </c>
      <c r="CF127">
        <v>6.8</v>
      </c>
      <c r="CG127">
        <v>7.3</v>
      </c>
      <c r="CH127">
        <v>67.400000000000006</v>
      </c>
      <c r="CI127">
        <v>68.2</v>
      </c>
      <c r="CJ127">
        <v>74.2</v>
      </c>
      <c r="CK127" s="224">
        <v>1370</v>
      </c>
      <c r="CL127" s="224">
        <v>1480</v>
      </c>
    </row>
    <row r="128" spans="1:90" ht="14.5">
      <c r="A128" t="s">
        <v>452</v>
      </c>
      <c r="B128" t="s">
        <v>453</v>
      </c>
      <c r="C128" t="s">
        <v>454</v>
      </c>
      <c r="D128" s="224">
        <v>152929</v>
      </c>
      <c r="E128" s="224">
        <v>162521</v>
      </c>
      <c r="F128" s="224">
        <v>119209</v>
      </c>
      <c r="G128" s="224">
        <v>120967</v>
      </c>
      <c r="H128" s="224">
        <v>33720</v>
      </c>
      <c r="I128" s="224">
        <v>41554</v>
      </c>
      <c r="J128" s="224">
        <v>3919</v>
      </c>
      <c r="K128" s="224">
        <v>4880</v>
      </c>
      <c r="L128">
        <v>9.1999999999999993</v>
      </c>
      <c r="M128">
        <v>78.7</v>
      </c>
      <c r="N128">
        <v>81.8</v>
      </c>
      <c r="O128">
        <v>55.6</v>
      </c>
      <c r="P128">
        <v>54.9</v>
      </c>
      <c r="Q128">
        <v>565</v>
      </c>
      <c r="R128">
        <v>500</v>
      </c>
      <c r="S128" s="224">
        <v>39052</v>
      </c>
      <c r="T128">
        <v>19.899999999999999</v>
      </c>
      <c r="U128" s="224">
        <v>12288</v>
      </c>
      <c r="V128">
        <v>6.3</v>
      </c>
      <c r="W128" s="224">
        <v>18223</v>
      </c>
      <c r="X128">
        <v>4.2</v>
      </c>
      <c r="Y128">
        <v>2.2999999999999998</v>
      </c>
      <c r="Z128">
        <v>3.3</v>
      </c>
      <c r="AA128" s="224">
        <v>2012</v>
      </c>
      <c r="AB128" s="224">
        <v>2039</v>
      </c>
      <c r="AC128" s="224">
        <v>3525</v>
      </c>
      <c r="AD128">
        <v>525</v>
      </c>
      <c r="AE128">
        <v>505</v>
      </c>
      <c r="AF128" t="s">
        <v>597</v>
      </c>
      <c r="AG128" t="s">
        <v>597</v>
      </c>
      <c r="AH128">
        <v>310</v>
      </c>
      <c r="AI128">
        <v>960</v>
      </c>
      <c r="AJ128" t="s">
        <v>597</v>
      </c>
      <c r="AK128" t="s">
        <v>597</v>
      </c>
      <c r="AL128" s="224">
        <v>1220</v>
      </c>
      <c r="AM128" s="224">
        <v>2305</v>
      </c>
      <c r="AN128">
        <v>68.2</v>
      </c>
      <c r="AO128" s="224">
        <v>97350</v>
      </c>
      <c r="AP128" s="224">
        <v>105235</v>
      </c>
      <c r="AQ128" s="224">
        <v>85787</v>
      </c>
      <c r="AR128" s="224">
        <v>198199</v>
      </c>
      <c r="AS128" s="224">
        <v>37107</v>
      </c>
      <c r="AT128" s="224">
        <v>48087</v>
      </c>
      <c r="AU128" s="224">
        <v>73814</v>
      </c>
      <c r="AV128" s="224">
        <v>1650</v>
      </c>
      <c r="AW128" s="224">
        <v>21442</v>
      </c>
      <c r="AX128" s="224">
        <v>5658</v>
      </c>
      <c r="AY128" s="224">
        <v>27671</v>
      </c>
      <c r="AZ128" s="224">
        <v>6547</v>
      </c>
      <c r="BA128" s="224">
        <v>72757</v>
      </c>
      <c r="BB128" s="224">
        <v>80361</v>
      </c>
      <c r="BC128" s="225">
        <v>26870.49</v>
      </c>
      <c r="BD128" s="225">
        <v>20641.650000000001</v>
      </c>
      <c r="BE128">
        <v>320.39</v>
      </c>
      <c r="BF128" s="225">
        <v>1293.3800000000001</v>
      </c>
      <c r="BG128" s="224">
        <v>20399</v>
      </c>
      <c r="BH128">
        <v>8</v>
      </c>
      <c r="BI128" s="224">
        <v>15151</v>
      </c>
      <c r="BJ128" s="224">
        <v>15402</v>
      </c>
      <c r="BK128">
        <v>58</v>
      </c>
      <c r="BL128" s="224">
        <v>5200</v>
      </c>
      <c r="BM128" s="224">
        <v>5500</v>
      </c>
      <c r="BN128">
        <v>350</v>
      </c>
      <c r="BO128" s="224">
        <v>4900</v>
      </c>
      <c r="BP128">
        <v>550</v>
      </c>
      <c r="BQ128">
        <v>80</v>
      </c>
      <c r="BR128">
        <v>2</v>
      </c>
      <c r="BS128">
        <v>18</v>
      </c>
      <c r="BT128">
        <v>41</v>
      </c>
      <c r="BU128">
        <v>43</v>
      </c>
      <c r="BV128">
        <v>75</v>
      </c>
      <c r="BW128" s="224">
        <v>4100</v>
      </c>
      <c r="BX128">
        <v>375</v>
      </c>
      <c r="BY128">
        <v>250</v>
      </c>
      <c r="BZ128">
        <v>700</v>
      </c>
      <c r="CA128">
        <v>19.100000000000001</v>
      </c>
      <c r="CB128">
        <v>19.8</v>
      </c>
      <c r="CC128">
        <v>18.600000000000001</v>
      </c>
      <c r="CD128">
        <v>81.2</v>
      </c>
      <c r="CE128">
        <v>76.5</v>
      </c>
      <c r="CF128">
        <v>7.6</v>
      </c>
      <c r="CG128">
        <v>7.8</v>
      </c>
      <c r="CH128">
        <v>72.3</v>
      </c>
      <c r="CI128">
        <v>73.7</v>
      </c>
      <c r="CJ128">
        <v>86</v>
      </c>
      <c r="CK128" s="224">
        <v>1485</v>
      </c>
      <c r="CL128" s="224">
        <v>1655</v>
      </c>
    </row>
    <row r="129" spans="1:90" ht="14.5">
      <c r="A129" t="s">
        <v>455</v>
      </c>
      <c r="B129" t="s">
        <v>456</v>
      </c>
      <c r="C129" t="s">
        <v>457</v>
      </c>
      <c r="D129" s="224">
        <v>197572</v>
      </c>
      <c r="E129" s="224">
        <v>210445</v>
      </c>
      <c r="F129" s="224">
        <v>155253</v>
      </c>
      <c r="G129" s="224">
        <v>163916</v>
      </c>
      <c r="H129" s="224">
        <v>42319</v>
      </c>
      <c r="I129" s="224">
        <v>46529</v>
      </c>
      <c r="J129" s="224">
        <v>5017</v>
      </c>
      <c r="K129" s="224">
        <v>5836</v>
      </c>
      <c r="L129">
        <v>9.1</v>
      </c>
      <c r="M129">
        <v>77.099999999999994</v>
      </c>
      <c r="N129">
        <v>80.7</v>
      </c>
      <c r="O129">
        <v>55.1</v>
      </c>
      <c r="P129">
        <v>53.5</v>
      </c>
      <c r="Q129">
        <v>635</v>
      </c>
      <c r="R129">
        <v>545</v>
      </c>
      <c r="S129" s="224">
        <v>54607</v>
      </c>
      <c r="T129">
        <v>21.1</v>
      </c>
      <c r="U129" s="224">
        <v>19012</v>
      </c>
      <c r="V129">
        <v>7.4</v>
      </c>
      <c r="W129" s="224">
        <v>23562</v>
      </c>
      <c r="X129">
        <v>4.0999999999999996</v>
      </c>
      <c r="Y129">
        <v>2.2999999999999998</v>
      </c>
      <c r="Z129">
        <v>3.3</v>
      </c>
      <c r="AA129" s="224">
        <v>2595</v>
      </c>
      <c r="AB129" s="224">
        <v>2703</v>
      </c>
      <c r="AC129" s="224">
        <v>4500</v>
      </c>
      <c r="AD129">
        <v>420</v>
      </c>
      <c r="AE129" t="s">
        <v>597</v>
      </c>
      <c r="AF129">
        <v>560</v>
      </c>
      <c r="AG129">
        <v>10</v>
      </c>
      <c r="AH129">
        <v>140</v>
      </c>
      <c r="AI129" t="s">
        <v>597</v>
      </c>
      <c r="AJ129" s="224">
        <v>1580</v>
      </c>
      <c r="AK129" t="s">
        <v>597</v>
      </c>
      <c r="AL129" s="224">
        <v>1320</v>
      </c>
      <c r="AM129" s="224">
        <v>3180</v>
      </c>
      <c r="AN129">
        <v>66.099999999999994</v>
      </c>
      <c r="AO129" s="224">
        <v>138051</v>
      </c>
      <c r="AP129" s="224">
        <v>163940</v>
      </c>
      <c r="AQ129" s="224">
        <v>139781</v>
      </c>
      <c r="AR129" s="224">
        <v>255761</v>
      </c>
      <c r="AS129" s="224">
        <v>59689</v>
      </c>
      <c r="AT129" s="224">
        <v>71580</v>
      </c>
      <c r="AU129" s="224">
        <v>110282</v>
      </c>
      <c r="AV129" s="224">
        <v>1556</v>
      </c>
      <c r="AW129" s="224">
        <v>33910</v>
      </c>
      <c r="AX129" s="224">
        <v>2496</v>
      </c>
      <c r="AY129" s="224">
        <v>35368</v>
      </c>
      <c r="AZ129" s="224">
        <v>3788</v>
      </c>
      <c r="BA129" s="224">
        <v>102740</v>
      </c>
      <c r="BB129" s="224">
        <v>114070</v>
      </c>
      <c r="BC129" s="225">
        <v>36390.910000000003</v>
      </c>
      <c r="BD129" s="225">
        <v>20765.41</v>
      </c>
      <c r="BE129">
        <v>373.64</v>
      </c>
      <c r="BF129" s="225">
        <v>1592.04</v>
      </c>
      <c r="BG129" s="224">
        <v>26717</v>
      </c>
      <c r="BH129" s="224">
        <v>1886</v>
      </c>
      <c r="BI129" s="224">
        <v>16407</v>
      </c>
      <c r="BJ129" s="224">
        <v>37158</v>
      </c>
      <c r="BK129" s="224">
        <v>1581</v>
      </c>
      <c r="BL129" s="224">
        <v>7300</v>
      </c>
      <c r="BM129" s="224">
        <v>7900</v>
      </c>
      <c r="BN129">
        <v>550</v>
      </c>
      <c r="BO129" s="224">
        <v>7300</v>
      </c>
      <c r="BP129">
        <v>600</v>
      </c>
      <c r="BQ129">
        <v>81</v>
      </c>
      <c r="BR129">
        <v>3</v>
      </c>
      <c r="BS129">
        <v>26</v>
      </c>
      <c r="BT129">
        <v>38</v>
      </c>
      <c r="BU129">
        <v>42</v>
      </c>
      <c r="BV129">
        <v>67</v>
      </c>
      <c r="BW129" s="224">
        <v>5800</v>
      </c>
      <c r="BX129">
        <v>600</v>
      </c>
      <c r="BY129">
        <v>425</v>
      </c>
      <c r="BZ129" s="224">
        <v>1100</v>
      </c>
      <c r="CA129">
        <v>19.600000000000001</v>
      </c>
      <c r="CB129">
        <v>20.399999999999999</v>
      </c>
      <c r="CC129">
        <v>19.2</v>
      </c>
      <c r="CD129">
        <v>77.400000000000006</v>
      </c>
      <c r="CE129">
        <v>74</v>
      </c>
      <c r="CF129">
        <v>8.8000000000000007</v>
      </c>
      <c r="CG129">
        <v>9.3000000000000007</v>
      </c>
      <c r="CH129">
        <v>76.8</v>
      </c>
      <c r="CI129">
        <v>76.599999999999994</v>
      </c>
      <c r="CJ129">
        <v>78.900000000000006</v>
      </c>
      <c r="CK129" s="224">
        <v>1255</v>
      </c>
      <c r="CL129">
        <v>430</v>
      </c>
    </row>
    <row r="130" spans="1:90" ht="14.5">
      <c r="A130" t="s">
        <v>458</v>
      </c>
      <c r="B130" t="s">
        <v>459</v>
      </c>
      <c r="C130" t="s">
        <v>460</v>
      </c>
      <c r="D130" s="224">
        <v>594538</v>
      </c>
      <c r="E130" s="224">
        <v>639497</v>
      </c>
      <c r="F130" s="224">
        <v>429149</v>
      </c>
      <c r="G130" s="224">
        <v>444790</v>
      </c>
      <c r="H130" s="224">
        <v>165389</v>
      </c>
      <c r="I130" s="224">
        <v>194707</v>
      </c>
      <c r="J130" s="224">
        <v>23108</v>
      </c>
      <c r="K130" s="224">
        <v>27695</v>
      </c>
      <c r="L130">
        <v>8.5</v>
      </c>
      <c r="M130">
        <v>80.599999999999994</v>
      </c>
      <c r="N130">
        <v>84.2</v>
      </c>
      <c r="O130">
        <v>62.1</v>
      </c>
      <c r="P130">
        <v>61.7</v>
      </c>
      <c r="Q130" s="225">
        <v>2335</v>
      </c>
      <c r="R130" s="224">
        <v>2035</v>
      </c>
      <c r="S130" s="224">
        <v>138987</v>
      </c>
      <c r="T130">
        <v>18.3</v>
      </c>
      <c r="U130" s="224">
        <v>37401</v>
      </c>
      <c r="V130">
        <v>4.9000000000000004</v>
      </c>
      <c r="W130" s="224">
        <v>65103</v>
      </c>
      <c r="X130">
        <v>4.7</v>
      </c>
      <c r="Y130">
        <v>1.6</v>
      </c>
      <c r="Z130">
        <v>2.7</v>
      </c>
      <c r="AA130" s="224">
        <v>7916</v>
      </c>
      <c r="AB130" s="224">
        <v>8156</v>
      </c>
      <c r="AC130" s="224">
        <v>14075</v>
      </c>
      <c r="AD130">
        <v>940</v>
      </c>
      <c r="AE130">
        <v>910</v>
      </c>
      <c r="AF130" s="224">
        <v>1765</v>
      </c>
      <c r="AG130">
        <v>5</v>
      </c>
      <c r="AH130">
        <v>425</v>
      </c>
      <c r="AI130">
        <v>455</v>
      </c>
      <c r="AJ130" s="224">
        <v>4965</v>
      </c>
      <c r="AK130">
        <v>170</v>
      </c>
      <c r="AL130" s="224">
        <v>4055</v>
      </c>
      <c r="AM130" s="224">
        <v>10020</v>
      </c>
      <c r="AN130">
        <v>66.5</v>
      </c>
      <c r="AO130" s="224">
        <v>448649</v>
      </c>
      <c r="AP130" s="224">
        <v>484218</v>
      </c>
      <c r="AQ130" s="224">
        <v>392091</v>
      </c>
      <c r="AR130" s="224">
        <v>635951</v>
      </c>
      <c r="AS130" s="224">
        <v>174271</v>
      </c>
      <c r="AT130" s="224">
        <v>237226</v>
      </c>
      <c r="AU130" s="224">
        <v>377842</v>
      </c>
      <c r="AV130">
        <v>685</v>
      </c>
      <c r="AW130" s="224">
        <v>121317</v>
      </c>
      <c r="AX130" s="224">
        <v>4752</v>
      </c>
      <c r="AY130" s="224">
        <v>149893</v>
      </c>
      <c r="AZ130" s="224">
        <v>5056</v>
      </c>
      <c r="BA130" s="224">
        <v>353082</v>
      </c>
      <c r="BB130" s="224">
        <v>382898</v>
      </c>
      <c r="BC130" s="225">
        <v>40410.36</v>
      </c>
      <c r="BD130" s="225">
        <v>21859.68</v>
      </c>
      <c r="BE130">
        <v>393.35</v>
      </c>
      <c r="BF130" s="225">
        <v>1242.78</v>
      </c>
      <c r="BG130" s="224">
        <v>92127</v>
      </c>
      <c r="BH130">
        <v>583</v>
      </c>
      <c r="BI130" s="224">
        <v>25640</v>
      </c>
      <c r="BJ130" s="224">
        <v>53246</v>
      </c>
      <c r="BK130">
        <v>431</v>
      </c>
      <c r="BL130" s="224">
        <v>20000</v>
      </c>
      <c r="BM130" s="224">
        <v>22000</v>
      </c>
      <c r="BN130" s="224">
        <v>1300</v>
      </c>
      <c r="BO130" s="224">
        <v>20500</v>
      </c>
      <c r="BP130" s="224">
        <v>1500</v>
      </c>
      <c r="BQ130">
        <v>79</v>
      </c>
      <c r="BR130">
        <v>7</v>
      </c>
      <c r="BS130">
        <v>19</v>
      </c>
      <c r="BT130">
        <v>46</v>
      </c>
      <c r="BU130">
        <v>43</v>
      </c>
      <c r="BV130">
        <v>75</v>
      </c>
      <c r="BW130" s="224">
        <v>15500</v>
      </c>
      <c r="BX130" s="224">
        <v>1900</v>
      </c>
      <c r="BY130" s="224">
        <v>1000</v>
      </c>
      <c r="BZ130" s="224">
        <v>3500</v>
      </c>
      <c r="CA130">
        <v>19.2</v>
      </c>
      <c r="CB130">
        <v>19.7</v>
      </c>
      <c r="CC130">
        <v>18.899999999999999</v>
      </c>
      <c r="CD130">
        <v>81</v>
      </c>
      <c r="CE130">
        <v>77.5</v>
      </c>
      <c r="CF130">
        <v>7</v>
      </c>
      <c r="CG130">
        <v>7</v>
      </c>
      <c r="CH130">
        <v>66.8</v>
      </c>
      <c r="CI130">
        <v>70.2</v>
      </c>
      <c r="CJ130">
        <v>84.2</v>
      </c>
      <c r="CK130" s="224">
        <v>4480</v>
      </c>
      <c r="CL130" s="224">
        <v>5220</v>
      </c>
    </row>
    <row r="131" spans="1:90" ht="14.5">
      <c r="A131" t="s">
        <v>461</v>
      </c>
      <c r="B131" t="s">
        <v>462</v>
      </c>
      <c r="C131" t="s">
        <v>463</v>
      </c>
      <c r="D131" s="224">
        <v>221258</v>
      </c>
      <c r="E131" s="224">
        <v>231370</v>
      </c>
      <c r="F131" s="224">
        <v>169564</v>
      </c>
      <c r="G131" s="224">
        <v>170527</v>
      </c>
      <c r="H131" s="224">
        <v>51694</v>
      </c>
      <c r="I131" s="224">
        <v>60843</v>
      </c>
      <c r="J131" s="224">
        <v>5732</v>
      </c>
      <c r="K131" s="224">
        <v>7342</v>
      </c>
      <c r="L131">
        <v>10.6</v>
      </c>
      <c r="M131">
        <v>77.099999999999994</v>
      </c>
      <c r="N131">
        <v>81.2</v>
      </c>
      <c r="O131">
        <v>56.4</v>
      </c>
      <c r="P131">
        <v>56.3</v>
      </c>
      <c r="Q131">
        <v>870</v>
      </c>
      <c r="R131">
        <v>745</v>
      </c>
      <c r="S131" s="224">
        <v>64396</v>
      </c>
      <c r="T131">
        <v>23.5</v>
      </c>
      <c r="U131" s="224">
        <v>21920</v>
      </c>
      <c r="V131">
        <v>8</v>
      </c>
      <c r="W131" s="224">
        <v>29217</v>
      </c>
      <c r="X131">
        <v>4.5</v>
      </c>
      <c r="Y131">
        <v>2.7</v>
      </c>
      <c r="Z131">
        <v>4</v>
      </c>
      <c r="AA131" s="224">
        <v>2689</v>
      </c>
      <c r="AB131" s="224">
        <v>2691</v>
      </c>
      <c r="AC131" s="224">
        <v>5205</v>
      </c>
      <c r="AD131">
        <v>290</v>
      </c>
      <c r="AE131">
        <v>910</v>
      </c>
      <c r="AF131" t="s">
        <v>597</v>
      </c>
      <c r="AG131" t="s">
        <v>597</v>
      </c>
      <c r="AH131">
        <v>70</v>
      </c>
      <c r="AI131" s="224">
        <v>1820</v>
      </c>
      <c r="AJ131" t="s">
        <v>597</v>
      </c>
      <c r="AK131" t="s">
        <v>597</v>
      </c>
      <c r="AL131" s="224">
        <v>1410</v>
      </c>
      <c r="AM131" s="224">
        <v>3795</v>
      </c>
      <c r="AN131">
        <v>66.599999999999994</v>
      </c>
      <c r="AO131" s="224">
        <v>174782</v>
      </c>
      <c r="AP131" s="224">
        <v>189713</v>
      </c>
      <c r="AQ131" s="224">
        <v>156666</v>
      </c>
      <c r="AR131" s="224">
        <v>283340</v>
      </c>
      <c r="AS131" s="224">
        <v>63516</v>
      </c>
      <c r="AT131" s="224">
        <v>85405</v>
      </c>
      <c r="AU131" s="224">
        <v>139819</v>
      </c>
      <c r="AV131">
        <v>319</v>
      </c>
      <c r="AW131" s="224">
        <v>42651</v>
      </c>
      <c r="AX131" s="224">
        <v>6591</v>
      </c>
      <c r="AY131" s="224">
        <v>56656</v>
      </c>
      <c r="AZ131" s="224">
        <v>1981</v>
      </c>
      <c r="BA131" s="224">
        <v>128521</v>
      </c>
      <c r="BB131" s="224">
        <v>141800</v>
      </c>
      <c r="BC131" s="225">
        <v>44125.53</v>
      </c>
      <c r="BD131" s="225">
        <v>20970.490000000002</v>
      </c>
      <c r="BE131">
        <v>374.34</v>
      </c>
      <c r="BF131" s="225">
        <v>1512.02</v>
      </c>
      <c r="BG131" s="224">
        <v>32792</v>
      </c>
      <c r="BH131">
        <v>0</v>
      </c>
      <c r="BI131" s="224">
        <v>19818</v>
      </c>
      <c r="BJ131" s="224">
        <v>19910</v>
      </c>
      <c r="BK131">
        <v>614</v>
      </c>
      <c r="BL131" s="224">
        <v>6800</v>
      </c>
      <c r="BM131" s="224">
        <v>7200</v>
      </c>
      <c r="BN131">
        <v>425</v>
      </c>
      <c r="BO131" s="224">
        <v>6900</v>
      </c>
      <c r="BP131">
        <v>275</v>
      </c>
      <c r="BQ131">
        <v>80</v>
      </c>
      <c r="BR131">
        <v>1</v>
      </c>
      <c r="BS131">
        <v>14</v>
      </c>
      <c r="BT131">
        <v>35</v>
      </c>
      <c r="BU131">
        <v>44</v>
      </c>
      <c r="BV131">
        <v>87</v>
      </c>
      <c r="BW131" s="224">
        <v>5100</v>
      </c>
      <c r="BX131">
        <v>600</v>
      </c>
      <c r="BY131">
        <v>400</v>
      </c>
      <c r="BZ131" s="224">
        <v>1100</v>
      </c>
      <c r="CA131">
        <v>19.399999999999999</v>
      </c>
      <c r="CB131">
        <v>19.8</v>
      </c>
      <c r="CC131">
        <v>19.2</v>
      </c>
      <c r="CD131">
        <v>76.400000000000006</v>
      </c>
      <c r="CE131">
        <v>72.8</v>
      </c>
      <c r="CF131">
        <v>7.5</v>
      </c>
      <c r="CG131">
        <v>7.7</v>
      </c>
      <c r="CH131">
        <v>80.099999999999994</v>
      </c>
      <c r="CI131">
        <v>81.3</v>
      </c>
      <c r="CJ131">
        <v>97.7</v>
      </c>
      <c r="CK131" s="224">
        <v>2745</v>
      </c>
      <c r="CL131" s="224">
        <v>2380</v>
      </c>
    </row>
    <row r="132" spans="1:90" ht="14.5">
      <c r="A132" t="s">
        <v>464</v>
      </c>
      <c r="B132" t="s">
        <v>465</v>
      </c>
      <c r="C132" t="s">
        <v>466</v>
      </c>
      <c r="D132" s="224">
        <v>919585</v>
      </c>
      <c r="E132" s="224">
        <v>989683</v>
      </c>
      <c r="F132" s="224">
        <v>704200</v>
      </c>
      <c r="G132" s="224">
        <v>744661</v>
      </c>
      <c r="H132" s="224">
        <v>215385</v>
      </c>
      <c r="I132" s="224">
        <v>245022</v>
      </c>
      <c r="J132" s="224">
        <v>32720</v>
      </c>
      <c r="K132" s="224">
        <v>39272</v>
      </c>
      <c r="L132">
        <v>7.5</v>
      </c>
      <c r="M132">
        <v>81.8</v>
      </c>
      <c r="N132">
        <v>85.3</v>
      </c>
      <c r="O132">
        <v>65.099999999999994</v>
      </c>
      <c r="P132">
        <v>66.400000000000006</v>
      </c>
      <c r="Q132" s="225">
        <v>3155</v>
      </c>
      <c r="R132" s="224">
        <v>2630</v>
      </c>
      <c r="S132" s="224">
        <v>166101</v>
      </c>
      <c r="T132">
        <v>13.8</v>
      </c>
      <c r="U132" s="224">
        <v>40378</v>
      </c>
      <c r="V132">
        <v>3.4</v>
      </c>
      <c r="W132" s="224">
        <v>90497</v>
      </c>
      <c r="X132">
        <v>4.5999999999999996</v>
      </c>
      <c r="Y132">
        <v>1.3</v>
      </c>
      <c r="Z132">
        <v>2.1</v>
      </c>
      <c r="AA132" s="224">
        <v>13872</v>
      </c>
      <c r="AB132" s="224">
        <v>15220</v>
      </c>
      <c r="AC132" s="224">
        <v>15230</v>
      </c>
      <c r="AD132" s="224">
        <v>1480</v>
      </c>
      <c r="AE132" t="s">
        <v>597</v>
      </c>
      <c r="AF132" t="s">
        <v>597</v>
      </c>
      <c r="AG132" s="224">
        <v>2910</v>
      </c>
      <c r="AH132">
        <v>990</v>
      </c>
      <c r="AI132" t="s">
        <v>597</v>
      </c>
      <c r="AJ132" t="s">
        <v>597</v>
      </c>
      <c r="AK132" s="224">
        <v>4410</v>
      </c>
      <c r="AL132" s="224">
        <v>5285</v>
      </c>
      <c r="AM132" s="224">
        <v>9945</v>
      </c>
      <c r="AN132">
        <v>68.099999999999994</v>
      </c>
      <c r="AO132" s="224">
        <v>631979</v>
      </c>
      <c r="AP132" s="224">
        <v>637958</v>
      </c>
      <c r="AQ132" s="224">
        <v>551755</v>
      </c>
      <c r="AR132" s="224">
        <v>1135102</v>
      </c>
      <c r="AS132" s="224">
        <v>271508</v>
      </c>
      <c r="AT132" s="224">
        <v>251550</v>
      </c>
      <c r="AU132" s="224">
        <v>504871</v>
      </c>
      <c r="AV132" s="224">
        <v>2902</v>
      </c>
      <c r="AW132" s="224">
        <v>194681</v>
      </c>
      <c r="AX132" s="224">
        <v>3156</v>
      </c>
      <c r="AY132" s="224">
        <v>169310</v>
      </c>
      <c r="AZ132" s="224">
        <v>6906</v>
      </c>
      <c r="BA132" s="224">
        <v>476216</v>
      </c>
      <c r="BB132" s="224">
        <v>511777</v>
      </c>
      <c r="BC132" s="225">
        <v>49664.14</v>
      </c>
      <c r="BD132" s="225">
        <v>25068.07</v>
      </c>
      <c r="BE132">
        <v>368.5</v>
      </c>
      <c r="BF132" s="225">
        <v>1039.52</v>
      </c>
      <c r="BG132" s="224">
        <v>85745</v>
      </c>
      <c r="BH132">
        <v>0</v>
      </c>
      <c r="BI132" s="224">
        <v>56532</v>
      </c>
      <c r="BJ132" s="224">
        <v>85383</v>
      </c>
      <c r="BK132" s="224">
        <v>1929</v>
      </c>
      <c r="BL132" s="224">
        <v>29000</v>
      </c>
      <c r="BM132" s="224">
        <v>32000</v>
      </c>
      <c r="BN132" s="224">
        <v>2700</v>
      </c>
      <c r="BO132" s="224">
        <v>30000</v>
      </c>
      <c r="BP132" s="224">
        <v>2100</v>
      </c>
      <c r="BQ132">
        <v>73</v>
      </c>
      <c r="BR132">
        <v>11</v>
      </c>
      <c r="BS132">
        <v>35</v>
      </c>
      <c r="BT132">
        <v>32</v>
      </c>
      <c r="BU132">
        <v>44</v>
      </c>
      <c r="BV132">
        <v>51</v>
      </c>
      <c r="BW132" s="224">
        <v>22500</v>
      </c>
      <c r="BX132" s="224">
        <v>3100</v>
      </c>
      <c r="BY132" s="224">
        <v>1700</v>
      </c>
      <c r="BZ132" s="224">
        <v>4800</v>
      </c>
      <c r="CA132">
        <v>19.100000000000001</v>
      </c>
      <c r="CB132">
        <v>19.5</v>
      </c>
      <c r="CC132">
        <v>18.8</v>
      </c>
      <c r="CD132">
        <v>76</v>
      </c>
      <c r="CE132">
        <v>71.5</v>
      </c>
      <c r="CF132">
        <v>7.2</v>
      </c>
      <c r="CG132">
        <v>7.4</v>
      </c>
      <c r="CH132">
        <v>72.599999999999994</v>
      </c>
      <c r="CI132">
        <v>76.8</v>
      </c>
      <c r="CJ132">
        <v>83.5</v>
      </c>
      <c r="CK132" s="224">
        <v>4025</v>
      </c>
      <c r="CL132" s="224">
        <v>3920</v>
      </c>
    </row>
    <row r="133" spans="1:90" ht="14.5">
      <c r="A133" t="s">
        <v>467</v>
      </c>
      <c r="B133" t="s">
        <v>468</v>
      </c>
      <c r="C133" t="s">
        <v>469</v>
      </c>
      <c r="D133" s="224">
        <v>155039</v>
      </c>
      <c r="E133" s="224">
        <v>164443</v>
      </c>
      <c r="F133" s="224">
        <v>125081</v>
      </c>
      <c r="G133" s="224">
        <v>130914</v>
      </c>
      <c r="H133" s="224">
        <v>29958</v>
      </c>
      <c r="I133" s="224">
        <v>33529</v>
      </c>
      <c r="J133" s="224">
        <v>4290</v>
      </c>
      <c r="K133" s="224">
        <v>4746</v>
      </c>
      <c r="L133">
        <v>7.6</v>
      </c>
      <c r="M133">
        <v>80.900000000000006</v>
      </c>
      <c r="N133">
        <v>84.5</v>
      </c>
      <c r="O133">
        <v>68.3</v>
      </c>
      <c r="P133">
        <v>68.7</v>
      </c>
      <c r="Q133">
        <v>635</v>
      </c>
      <c r="R133">
        <v>515</v>
      </c>
      <c r="S133" s="224">
        <v>29614</v>
      </c>
      <c r="T133">
        <v>14.1</v>
      </c>
      <c r="U133" s="224">
        <v>8214</v>
      </c>
      <c r="V133">
        <v>3.9</v>
      </c>
      <c r="W133" s="224">
        <v>15873</v>
      </c>
      <c r="X133">
        <v>4.2</v>
      </c>
      <c r="Y133">
        <v>1.6</v>
      </c>
      <c r="Z133">
        <v>2.2999999999999998</v>
      </c>
      <c r="AA133" s="224">
        <v>1278</v>
      </c>
      <c r="AB133" s="224">
        <v>1370</v>
      </c>
      <c r="AC133" s="224">
        <v>2700</v>
      </c>
      <c r="AD133">
        <v>400</v>
      </c>
      <c r="AE133">
        <v>440</v>
      </c>
      <c r="AF133" t="s">
        <v>597</v>
      </c>
      <c r="AG133" t="s">
        <v>597</v>
      </c>
      <c r="AH133">
        <v>155</v>
      </c>
      <c r="AI133" s="224">
        <v>1135</v>
      </c>
      <c r="AJ133" t="s">
        <v>597</v>
      </c>
      <c r="AK133" t="s">
        <v>597</v>
      </c>
      <c r="AL133">
        <v>980</v>
      </c>
      <c r="AM133" s="224">
        <v>1720</v>
      </c>
      <c r="AN133">
        <v>60.9</v>
      </c>
      <c r="AO133" s="224">
        <v>106109</v>
      </c>
      <c r="AP133" s="224">
        <v>113846</v>
      </c>
      <c r="AQ133" s="224">
        <v>93594</v>
      </c>
      <c r="AR133" s="224">
        <v>192274</v>
      </c>
      <c r="AS133" s="224">
        <v>38305</v>
      </c>
      <c r="AT133" s="224">
        <v>37633</v>
      </c>
      <c r="AU133" s="224">
        <v>85871</v>
      </c>
      <c r="AV133">
        <v>0</v>
      </c>
      <c r="AW133" s="224">
        <v>24675</v>
      </c>
      <c r="AX133">
        <v>0</v>
      </c>
      <c r="AY133" s="224">
        <v>29864</v>
      </c>
      <c r="AZ133" s="224">
        <v>3200</v>
      </c>
      <c r="BA133" s="224">
        <v>61710</v>
      </c>
      <c r="BB133" s="224">
        <v>89071</v>
      </c>
      <c r="BC133" s="225">
        <v>42192.86</v>
      </c>
      <c r="BD133" s="225">
        <v>27745.35</v>
      </c>
      <c r="BE133">
        <v>292.60000000000002</v>
      </c>
      <c r="BF133" s="225">
        <v>1122.4000000000001</v>
      </c>
      <c r="BG133" s="224">
        <v>20253</v>
      </c>
      <c r="BH133">
        <v>0</v>
      </c>
      <c r="BI133" s="224">
        <v>18589</v>
      </c>
      <c r="BJ133" s="224">
        <v>18589</v>
      </c>
      <c r="BK133" s="224">
        <v>4668</v>
      </c>
      <c r="BL133" s="224">
        <v>4900</v>
      </c>
      <c r="BM133" s="224">
        <v>5200</v>
      </c>
      <c r="BN133">
        <v>750</v>
      </c>
      <c r="BO133" s="224">
        <v>5000</v>
      </c>
      <c r="BP133">
        <v>250</v>
      </c>
      <c r="BQ133">
        <v>78</v>
      </c>
      <c r="BR133">
        <v>6</v>
      </c>
      <c r="BS133">
        <v>41</v>
      </c>
      <c r="BT133">
        <v>23</v>
      </c>
      <c r="BU133">
        <v>44</v>
      </c>
      <c r="BV133">
        <v>31</v>
      </c>
      <c r="BW133" s="224">
        <v>4100</v>
      </c>
      <c r="BX133">
        <v>425</v>
      </c>
      <c r="BY133">
        <v>175</v>
      </c>
      <c r="BZ133">
        <v>500</v>
      </c>
      <c r="CA133">
        <v>18.899999999999999</v>
      </c>
      <c r="CB133">
        <v>19.899999999999999</v>
      </c>
      <c r="CC133">
        <v>18.2</v>
      </c>
      <c r="CD133">
        <v>74</v>
      </c>
      <c r="CE133">
        <v>67</v>
      </c>
      <c r="CF133">
        <v>6.8</v>
      </c>
      <c r="CG133">
        <v>7.1</v>
      </c>
      <c r="CH133">
        <v>69.3</v>
      </c>
      <c r="CI133">
        <v>64</v>
      </c>
      <c r="CJ133">
        <v>95.4</v>
      </c>
      <c r="CK133">
        <v>840</v>
      </c>
      <c r="CL133">
        <v>615</v>
      </c>
    </row>
    <row r="134" spans="1:90" ht="14.5">
      <c r="A134" t="s">
        <v>470</v>
      </c>
      <c r="B134" t="s">
        <v>471</v>
      </c>
      <c r="C134" t="s">
        <v>472</v>
      </c>
      <c r="D134" s="224">
        <v>172487</v>
      </c>
      <c r="E134" s="224">
        <v>191842</v>
      </c>
      <c r="F134" s="224">
        <v>139530</v>
      </c>
      <c r="G134" s="224">
        <v>150822</v>
      </c>
      <c r="H134" s="224">
        <v>32957</v>
      </c>
      <c r="I134" s="224">
        <v>41020</v>
      </c>
      <c r="J134" s="224">
        <v>4333</v>
      </c>
      <c r="K134" s="224">
        <v>5221</v>
      </c>
      <c r="L134">
        <v>7.8</v>
      </c>
      <c r="M134">
        <v>79.900000000000006</v>
      </c>
      <c r="N134">
        <v>83.7</v>
      </c>
      <c r="O134">
        <v>61.5</v>
      </c>
      <c r="P134">
        <v>61.4</v>
      </c>
      <c r="Q134">
        <v>715</v>
      </c>
      <c r="R134">
        <v>630</v>
      </c>
      <c r="S134" s="224">
        <v>37075</v>
      </c>
      <c r="T134">
        <v>15.9</v>
      </c>
      <c r="U134" s="224">
        <v>10375</v>
      </c>
      <c r="V134">
        <v>4.4000000000000004</v>
      </c>
      <c r="W134" s="224">
        <v>18318</v>
      </c>
      <c r="X134">
        <v>4.0999999999999996</v>
      </c>
      <c r="Y134">
        <v>1.7</v>
      </c>
      <c r="Z134">
        <v>2.5</v>
      </c>
      <c r="AA134" s="224">
        <v>1290</v>
      </c>
      <c r="AB134" s="224">
        <v>1288</v>
      </c>
      <c r="AC134" s="224">
        <v>2930</v>
      </c>
      <c r="AD134">
        <v>320</v>
      </c>
      <c r="AE134">
        <v>640</v>
      </c>
      <c r="AF134" t="s">
        <v>597</v>
      </c>
      <c r="AG134" t="s">
        <v>597</v>
      </c>
      <c r="AH134">
        <v>70</v>
      </c>
      <c r="AI134">
        <v>920</v>
      </c>
      <c r="AJ134" t="s">
        <v>597</v>
      </c>
      <c r="AK134" t="s">
        <v>597</v>
      </c>
      <c r="AL134" s="224">
        <v>1145</v>
      </c>
      <c r="AM134" s="224">
        <v>1785</v>
      </c>
      <c r="AN134">
        <v>61</v>
      </c>
      <c r="AO134" s="224">
        <v>113398</v>
      </c>
      <c r="AP134" s="224">
        <v>119635</v>
      </c>
      <c r="AQ134" s="224">
        <v>103653</v>
      </c>
      <c r="AR134" s="224">
        <v>204133</v>
      </c>
      <c r="AS134" s="224">
        <v>53560</v>
      </c>
      <c r="AT134" s="224">
        <v>44335</v>
      </c>
      <c r="AU134" s="224">
        <v>90614</v>
      </c>
      <c r="AV134">
        <v>846</v>
      </c>
      <c r="AW134" s="224">
        <v>40971</v>
      </c>
      <c r="AX134" s="224">
        <v>1522</v>
      </c>
      <c r="AY134" s="224">
        <v>27673</v>
      </c>
      <c r="AZ134" s="224">
        <v>1686</v>
      </c>
      <c r="BA134" s="224">
        <v>86430</v>
      </c>
      <c r="BB134" s="224">
        <v>92300</v>
      </c>
      <c r="BC134" s="225">
        <v>48299.56</v>
      </c>
      <c r="BD134" s="225">
        <v>20726.61</v>
      </c>
      <c r="BE134">
        <v>360.73</v>
      </c>
      <c r="BF134" s="225">
        <v>1117.92</v>
      </c>
      <c r="BG134" s="224">
        <v>15901</v>
      </c>
      <c r="BH134">
        <v>64</v>
      </c>
      <c r="BI134" s="224">
        <v>8819</v>
      </c>
      <c r="BJ134" s="224">
        <v>22779</v>
      </c>
      <c r="BK134">
        <v>35</v>
      </c>
      <c r="BL134" s="224">
        <v>4100</v>
      </c>
      <c r="BM134" s="224">
        <v>4600</v>
      </c>
      <c r="BN134">
        <v>400</v>
      </c>
      <c r="BO134" s="224">
        <v>4100</v>
      </c>
      <c r="BP134">
        <v>475</v>
      </c>
      <c r="BQ134">
        <v>80</v>
      </c>
      <c r="BR134">
        <v>10</v>
      </c>
      <c r="BS134">
        <v>32</v>
      </c>
      <c r="BT134">
        <v>34</v>
      </c>
      <c r="BU134">
        <v>43</v>
      </c>
      <c r="BV134">
        <v>58</v>
      </c>
      <c r="BW134" s="224">
        <v>3400</v>
      </c>
      <c r="BX134">
        <v>350</v>
      </c>
      <c r="BY134">
        <v>250</v>
      </c>
      <c r="BZ134">
        <v>600</v>
      </c>
      <c r="CA134">
        <v>19</v>
      </c>
      <c r="CB134">
        <v>19.899999999999999</v>
      </c>
      <c r="CC134">
        <v>18.3</v>
      </c>
      <c r="CD134">
        <v>78.599999999999994</v>
      </c>
      <c r="CE134">
        <v>74.7</v>
      </c>
      <c r="CF134">
        <v>7.5</v>
      </c>
      <c r="CG134">
        <v>7.7</v>
      </c>
      <c r="CH134">
        <v>72</v>
      </c>
      <c r="CI134">
        <v>70.400000000000006</v>
      </c>
      <c r="CJ134">
        <v>87.2</v>
      </c>
      <c r="CK134" s="224">
        <v>1740</v>
      </c>
      <c r="CL134" s="224">
        <v>1735</v>
      </c>
    </row>
    <row r="135" spans="1:90" ht="14.5">
      <c r="A135" t="s">
        <v>473</v>
      </c>
      <c r="B135" t="s">
        <v>474</v>
      </c>
      <c r="C135" t="s">
        <v>475</v>
      </c>
      <c r="D135" s="224">
        <v>174304</v>
      </c>
      <c r="E135" s="224">
        <v>188384</v>
      </c>
      <c r="F135" s="224">
        <v>135850</v>
      </c>
      <c r="G135" s="224">
        <v>145649</v>
      </c>
      <c r="H135" s="224">
        <v>38454</v>
      </c>
      <c r="I135" s="224">
        <v>42735</v>
      </c>
      <c r="J135" s="224">
        <v>4279</v>
      </c>
      <c r="K135" s="224">
        <v>4830</v>
      </c>
      <c r="L135">
        <v>8.9</v>
      </c>
      <c r="M135">
        <v>76.900000000000006</v>
      </c>
      <c r="N135">
        <v>81.099999999999994</v>
      </c>
      <c r="O135">
        <v>55.2</v>
      </c>
      <c r="P135">
        <v>56</v>
      </c>
      <c r="Q135">
        <v>660</v>
      </c>
      <c r="R135">
        <v>570</v>
      </c>
      <c r="S135" s="224">
        <v>46209</v>
      </c>
      <c r="T135">
        <v>20</v>
      </c>
      <c r="U135" s="224">
        <v>15268</v>
      </c>
      <c r="V135">
        <v>6.6</v>
      </c>
      <c r="W135" s="224">
        <v>20675</v>
      </c>
      <c r="X135">
        <v>4.3</v>
      </c>
      <c r="Y135">
        <v>2.1</v>
      </c>
      <c r="Z135">
        <v>3.1</v>
      </c>
      <c r="AA135" s="224">
        <v>1525</v>
      </c>
      <c r="AB135" s="224">
        <v>1415</v>
      </c>
      <c r="AC135" s="224">
        <v>4095</v>
      </c>
      <c r="AD135">
        <v>300</v>
      </c>
      <c r="AE135">
        <v>825</v>
      </c>
      <c r="AF135" t="s">
        <v>597</v>
      </c>
      <c r="AG135" t="s">
        <v>597</v>
      </c>
      <c r="AH135">
        <v>80</v>
      </c>
      <c r="AI135" s="224">
        <v>1725</v>
      </c>
      <c r="AJ135" t="s">
        <v>597</v>
      </c>
      <c r="AK135" t="s">
        <v>597</v>
      </c>
      <c r="AL135" s="224">
        <v>1255</v>
      </c>
      <c r="AM135" s="224">
        <v>2840</v>
      </c>
      <c r="AN135">
        <v>61</v>
      </c>
      <c r="AO135" s="224">
        <v>122349</v>
      </c>
      <c r="AP135" s="224">
        <v>139185</v>
      </c>
      <c r="AQ135" s="224">
        <v>112852</v>
      </c>
      <c r="AR135" s="224">
        <v>266349</v>
      </c>
      <c r="AS135" s="224">
        <v>56911</v>
      </c>
      <c r="AT135" s="224">
        <v>59396</v>
      </c>
      <c r="AU135" s="224">
        <v>99705</v>
      </c>
      <c r="AV135">
        <v>815</v>
      </c>
      <c r="AW135" s="224">
        <v>36158</v>
      </c>
      <c r="AX135" s="224">
        <v>1793</v>
      </c>
      <c r="AY135" s="224">
        <v>30746</v>
      </c>
      <c r="AZ135" s="224">
        <v>5182</v>
      </c>
      <c r="BA135" s="224">
        <v>98535</v>
      </c>
      <c r="BB135" s="224">
        <v>104887</v>
      </c>
      <c r="BC135" s="225">
        <v>41871.71</v>
      </c>
      <c r="BD135" s="225">
        <v>18428.87</v>
      </c>
      <c r="BE135">
        <v>396.34</v>
      </c>
      <c r="BF135" s="225">
        <v>1431.82</v>
      </c>
      <c r="BG135" s="224">
        <v>26332</v>
      </c>
      <c r="BH135">
        <v>3</v>
      </c>
      <c r="BI135" s="224">
        <v>14178</v>
      </c>
      <c r="BJ135" s="224">
        <v>21007</v>
      </c>
      <c r="BK135" s="224">
        <v>2100</v>
      </c>
      <c r="BL135" s="224">
        <v>4500</v>
      </c>
      <c r="BM135" s="224">
        <v>4800</v>
      </c>
      <c r="BN135">
        <v>275</v>
      </c>
      <c r="BO135" s="224">
        <v>4000</v>
      </c>
      <c r="BP135">
        <v>800</v>
      </c>
      <c r="BQ135">
        <v>81</v>
      </c>
      <c r="BR135">
        <v>2</v>
      </c>
      <c r="BS135">
        <v>14</v>
      </c>
      <c r="BT135">
        <v>37</v>
      </c>
      <c r="BU135">
        <v>45</v>
      </c>
      <c r="BV135">
        <v>77</v>
      </c>
      <c r="BW135" s="224">
        <v>3400</v>
      </c>
      <c r="BX135">
        <v>400</v>
      </c>
      <c r="BY135">
        <v>175</v>
      </c>
      <c r="BZ135">
        <v>750</v>
      </c>
      <c r="CA135">
        <v>19.100000000000001</v>
      </c>
      <c r="CB135">
        <v>20</v>
      </c>
      <c r="CC135">
        <v>18.600000000000001</v>
      </c>
      <c r="CD135">
        <v>78</v>
      </c>
      <c r="CE135">
        <v>74.599999999999994</v>
      </c>
      <c r="CF135">
        <v>6.9</v>
      </c>
      <c r="CG135">
        <v>7.3</v>
      </c>
      <c r="CH135">
        <v>75.400000000000006</v>
      </c>
      <c r="CI135">
        <v>72.400000000000006</v>
      </c>
      <c r="CJ135">
        <v>71.400000000000006</v>
      </c>
      <c r="CK135">
        <v>670</v>
      </c>
      <c r="CL135">
        <v>870</v>
      </c>
    </row>
    <row r="136" spans="1:90" ht="14.5">
      <c r="A136" t="s">
        <v>476</v>
      </c>
      <c r="B136" t="s">
        <v>477</v>
      </c>
      <c r="C136" t="s">
        <v>478</v>
      </c>
      <c r="D136" s="224">
        <v>133823</v>
      </c>
      <c r="E136" s="224">
        <v>155186</v>
      </c>
      <c r="F136" s="224">
        <v>105526</v>
      </c>
      <c r="G136" s="224">
        <v>119261</v>
      </c>
      <c r="H136" s="224">
        <v>28297</v>
      </c>
      <c r="I136" s="224">
        <v>35925</v>
      </c>
      <c r="J136" s="224">
        <v>2978</v>
      </c>
      <c r="K136" s="224">
        <v>4235</v>
      </c>
      <c r="L136">
        <v>9.6999999999999993</v>
      </c>
      <c r="M136">
        <v>78.3</v>
      </c>
      <c r="N136">
        <v>82.2</v>
      </c>
      <c r="O136">
        <v>56.7</v>
      </c>
      <c r="P136">
        <v>55.4</v>
      </c>
      <c r="Q136">
        <v>610</v>
      </c>
      <c r="R136">
        <v>545</v>
      </c>
      <c r="S136" s="224">
        <v>36526</v>
      </c>
      <c r="T136">
        <v>19.7</v>
      </c>
      <c r="U136" s="224">
        <v>11354</v>
      </c>
      <c r="V136">
        <v>6.1</v>
      </c>
      <c r="W136" s="224">
        <v>18026</v>
      </c>
      <c r="X136">
        <v>4.7</v>
      </c>
      <c r="Y136">
        <v>2.2000000000000002</v>
      </c>
      <c r="Z136">
        <v>3.4</v>
      </c>
      <c r="AA136" s="224">
        <v>1278</v>
      </c>
      <c r="AB136" s="224">
        <v>1326</v>
      </c>
      <c r="AC136" s="224">
        <v>2770</v>
      </c>
      <c r="AD136">
        <v>245</v>
      </c>
      <c r="AE136">
        <v>625</v>
      </c>
      <c r="AF136" t="s">
        <v>597</v>
      </c>
      <c r="AG136" t="s">
        <v>597</v>
      </c>
      <c r="AH136">
        <v>95</v>
      </c>
      <c r="AI136" s="224">
        <v>1010</v>
      </c>
      <c r="AJ136" t="s">
        <v>597</v>
      </c>
      <c r="AK136" t="s">
        <v>597</v>
      </c>
      <c r="AL136">
        <v>985</v>
      </c>
      <c r="AM136" s="224">
        <v>1785</v>
      </c>
      <c r="AN136">
        <v>61.4</v>
      </c>
      <c r="AO136" s="224">
        <v>105318</v>
      </c>
      <c r="AP136" s="224">
        <v>120516</v>
      </c>
      <c r="AQ136" s="224">
        <v>102845</v>
      </c>
      <c r="AR136" s="224">
        <v>185509</v>
      </c>
      <c r="AS136" s="224">
        <v>51168</v>
      </c>
      <c r="AT136" s="224">
        <v>51605</v>
      </c>
      <c r="AU136" s="224">
        <v>88929</v>
      </c>
      <c r="AV136">
        <v>726</v>
      </c>
      <c r="AW136" s="224">
        <v>33474</v>
      </c>
      <c r="AX136" s="224">
        <v>2955</v>
      </c>
      <c r="AY136" s="224">
        <v>34023</v>
      </c>
      <c r="AZ136" s="224">
        <v>3037</v>
      </c>
      <c r="BA136" s="224">
        <v>85160</v>
      </c>
      <c r="BB136" s="224">
        <v>91966</v>
      </c>
      <c r="BC136" s="225">
        <v>44765.48</v>
      </c>
      <c r="BD136" s="225">
        <v>26819.05</v>
      </c>
      <c r="BE136">
        <v>435.13</v>
      </c>
      <c r="BF136" s="225">
        <v>1518.72</v>
      </c>
      <c r="BG136" s="224">
        <v>17678</v>
      </c>
      <c r="BH136">
        <v>0</v>
      </c>
      <c r="BI136" s="224">
        <v>11251</v>
      </c>
      <c r="BJ136" s="224">
        <v>19977</v>
      </c>
      <c r="BK136">
        <v>78</v>
      </c>
      <c r="BL136" s="224">
        <v>5400</v>
      </c>
      <c r="BM136" s="224">
        <v>5800</v>
      </c>
      <c r="BN136">
        <v>600</v>
      </c>
      <c r="BO136" s="224">
        <v>5100</v>
      </c>
      <c r="BP136">
        <v>650</v>
      </c>
      <c r="BQ136">
        <v>85</v>
      </c>
      <c r="BR136">
        <v>9</v>
      </c>
      <c r="BS136">
        <v>25</v>
      </c>
      <c r="BT136">
        <v>31</v>
      </c>
      <c r="BU136">
        <v>43</v>
      </c>
      <c r="BV136">
        <v>74</v>
      </c>
      <c r="BW136" s="224">
        <v>4500</v>
      </c>
      <c r="BX136">
        <v>375</v>
      </c>
      <c r="BY136">
        <v>250</v>
      </c>
      <c r="BZ136">
        <v>600</v>
      </c>
      <c r="CA136">
        <v>18.8</v>
      </c>
      <c r="CB136">
        <v>19.600000000000001</v>
      </c>
      <c r="CC136">
        <v>18.3</v>
      </c>
      <c r="CD136">
        <v>75.7</v>
      </c>
      <c r="CE136">
        <v>68.900000000000006</v>
      </c>
      <c r="CF136">
        <v>6.9</v>
      </c>
      <c r="CG136">
        <v>7.4</v>
      </c>
      <c r="CH136">
        <v>75.2</v>
      </c>
      <c r="CI136">
        <v>72.599999999999994</v>
      </c>
      <c r="CJ136">
        <v>73</v>
      </c>
      <c r="CK136">
        <v>575</v>
      </c>
      <c r="CL136">
        <v>760</v>
      </c>
    </row>
    <row r="137" spans="1:90" ht="14.5">
      <c r="A137" t="s">
        <v>479</v>
      </c>
      <c r="B137" t="s">
        <v>480</v>
      </c>
      <c r="C137" t="s">
        <v>481</v>
      </c>
      <c r="D137" s="224">
        <v>125681</v>
      </c>
      <c r="E137" s="224">
        <v>136421</v>
      </c>
      <c r="F137" s="224">
        <v>102797</v>
      </c>
      <c r="G137" s="224">
        <v>111579</v>
      </c>
      <c r="H137" s="224">
        <v>22884</v>
      </c>
      <c r="I137" s="224">
        <v>24842</v>
      </c>
      <c r="J137" s="224">
        <v>2811</v>
      </c>
      <c r="K137" s="224">
        <v>2987</v>
      </c>
      <c r="L137">
        <v>7.2</v>
      </c>
      <c r="M137">
        <v>78.900000000000006</v>
      </c>
      <c r="N137">
        <v>82.7</v>
      </c>
      <c r="O137">
        <v>58.9</v>
      </c>
      <c r="P137">
        <v>58.2</v>
      </c>
      <c r="Q137">
        <v>450</v>
      </c>
      <c r="R137">
        <v>410</v>
      </c>
      <c r="S137" s="224">
        <v>25443</v>
      </c>
      <c r="T137">
        <v>14.5</v>
      </c>
      <c r="U137" s="224">
        <v>7639</v>
      </c>
      <c r="V137">
        <v>4.3</v>
      </c>
      <c r="W137" s="224">
        <v>12671</v>
      </c>
      <c r="X137">
        <v>3.5</v>
      </c>
      <c r="Y137">
        <v>1.7</v>
      </c>
      <c r="Z137">
        <v>2.5</v>
      </c>
      <c r="AA137">
        <v>728</v>
      </c>
      <c r="AB137">
        <v>676</v>
      </c>
      <c r="AC137" s="224">
        <v>2735</v>
      </c>
      <c r="AD137">
        <v>330</v>
      </c>
      <c r="AE137">
        <v>210</v>
      </c>
      <c r="AF137">
        <v>180</v>
      </c>
      <c r="AG137" t="s">
        <v>597</v>
      </c>
      <c r="AH137">
        <v>170</v>
      </c>
      <c r="AI137" s="224">
        <v>1010</v>
      </c>
      <c r="AJ137">
        <v>135</v>
      </c>
      <c r="AK137" t="s">
        <v>597</v>
      </c>
      <c r="AL137">
        <v>850</v>
      </c>
      <c r="AM137" s="224">
        <v>1885</v>
      </c>
      <c r="AN137">
        <v>68.400000000000006</v>
      </c>
      <c r="AO137" s="224">
        <v>55978</v>
      </c>
      <c r="AP137" s="224">
        <v>77599</v>
      </c>
      <c r="AQ137" s="224">
        <v>83119</v>
      </c>
      <c r="AR137" s="224">
        <v>161109</v>
      </c>
      <c r="AS137" s="224">
        <v>32416</v>
      </c>
      <c r="AT137" s="224">
        <v>24357</v>
      </c>
      <c r="AU137" s="224">
        <v>51283</v>
      </c>
      <c r="AV137">
        <v>569</v>
      </c>
      <c r="AW137" s="224">
        <v>18901</v>
      </c>
      <c r="AX137" s="224">
        <v>2024</v>
      </c>
      <c r="AY137" s="224">
        <v>17959</v>
      </c>
      <c r="AZ137" s="224">
        <v>2586</v>
      </c>
      <c r="BA137" s="224">
        <v>55569</v>
      </c>
      <c r="BB137" s="224">
        <v>53869</v>
      </c>
      <c r="BC137" s="225">
        <v>34432.94</v>
      </c>
      <c r="BD137" s="225">
        <v>13050.93</v>
      </c>
      <c r="BE137">
        <v>295.62</v>
      </c>
      <c r="BF137" s="225">
        <v>1061.95</v>
      </c>
      <c r="BG137" s="224">
        <v>12045</v>
      </c>
      <c r="BH137" s="224">
        <v>1848</v>
      </c>
      <c r="BI137" s="224">
        <v>6999</v>
      </c>
      <c r="BJ137" s="224">
        <v>12733</v>
      </c>
      <c r="BK137">
        <v>0</v>
      </c>
      <c r="BL137" s="224">
        <v>3200</v>
      </c>
      <c r="BM137" s="224">
        <v>3700</v>
      </c>
      <c r="BN137">
        <v>175</v>
      </c>
      <c r="BO137" s="224">
        <v>3100</v>
      </c>
      <c r="BP137">
        <v>550</v>
      </c>
      <c r="BQ137">
        <v>80</v>
      </c>
      <c r="BR137">
        <v>4</v>
      </c>
      <c r="BS137">
        <v>32</v>
      </c>
      <c r="BT137">
        <v>49</v>
      </c>
      <c r="BU137">
        <v>42</v>
      </c>
      <c r="BV137">
        <v>49</v>
      </c>
      <c r="BW137" s="224">
        <v>2800</v>
      </c>
      <c r="BX137">
        <v>325</v>
      </c>
      <c r="BY137">
        <v>125</v>
      </c>
      <c r="BZ137">
        <v>450</v>
      </c>
      <c r="CA137">
        <v>19.600000000000001</v>
      </c>
      <c r="CB137">
        <v>20</v>
      </c>
      <c r="CC137">
        <v>19.3</v>
      </c>
      <c r="CD137">
        <v>80.599999999999994</v>
      </c>
      <c r="CE137">
        <v>78.7</v>
      </c>
      <c r="CF137">
        <v>7.7</v>
      </c>
      <c r="CG137">
        <v>7.6</v>
      </c>
      <c r="CH137">
        <v>72.2</v>
      </c>
      <c r="CI137">
        <v>72</v>
      </c>
      <c r="CJ137">
        <v>80.8</v>
      </c>
      <c r="CK137">
        <v>710</v>
      </c>
      <c r="CL137">
        <v>505</v>
      </c>
    </row>
    <row r="138" spans="1:90" ht="14.5">
      <c r="A138" t="s">
        <v>482</v>
      </c>
      <c r="B138" t="s">
        <v>483</v>
      </c>
      <c r="C138" t="s">
        <v>484</v>
      </c>
      <c r="D138" s="224">
        <v>109625</v>
      </c>
      <c r="E138" s="224">
        <v>115352</v>
      </c>
      <c r="F138" s="224">
        <v>75364</v>
      </c>
      <c r="G138" s="224">
        <v>76439</v>
      </c>
      <c r="H138" s="224">
        <v>34261</v>
      </c>
      <c r="I138" s="224">
        <v>38913</v>
      </c>
      <c r="J138" s="224">
        <v>4931</v>
      </c>
      <c r="K138" s="224">
        <v>5622</v>
      </c>
      <c r="L138">
        <v>10.7</v>
      </c>
      <c r="M138">
        <v>78.599999999999994</v>
      </c>
      <c r="N138">
        <v>83.2</v>
      </c>
      <c r="O138">
        <v>61.5</v>
      </c>
      <c r="P138">
        <v>61.9</v>
      </c>
      <c r="Q138">
        <v>635</v>
      </c>
      <c r="R138">
        <v>555</v>
      </c>
      <c r="S138" s="224">
        <v>33224</v>
      </c>
      <c r="T138">
        <v>23.8</v>
      </c>
      <c r="U138" s="224">
        <v>10207</v>
      </c>
      <c r="V138">
        <v>7.3</v>
      </c>
      <c r="W138" s="224">
        <v>14906</v>
      </c>
      <c r="X138">
        <v>4.9000000000000004</v>
      </c>
      <c r="Y138">
        <v>2.4</v>
      </c>
      <c r="Z138">
        <v>3.9</v>
      </c>
      <c r="AA138" s="224">
        <v>2030</v>
      </c>
      <c r="AB138" s="224">
        <v>2002</v>
      </c>
      <c r="AC138" s="224">
        <v>3730</v>
      </c>
      <c r="AD138">
        <v>290</v>
      </c>
      <c r="AE138">
        <v>855</v>
      </c>
      <c r="AF138" t="s">
        <v>597</v>
      </c>
      <c r="AG138" t="s">
        <v>597</v>
      </c>
      <c r="AH138">
        <v>180</v>
      </c>
      <c r="AI138" s="224">
        <v>1300</v>
      </c>
      <c r="AJ138" t="s">
        <v>597</v>
      </c>
      <c r="AK138" t="s">
        <v>597</v>
      </c>
      <c r="AL138" s="224">
        <v>1305</v>
      </c>
      <c r="AM138" s="224">
        <v>2425</v>
      </c>
      <c r="AN138">
        <v>69</v>
      </c>
      <c r="AO138" s="224">
        <v>87755</v>
      </c>
      <c r="AP138" s="224">
        <v>89984</v>
      </c>
      <c r="AQ138" s="224">
        <v>69517</v>
      </c>
      <c r="AR138" s="224">
        <v>133074</v>
      </c>
      <c r="AS138" s="224">
        <v>33646</v>
      </c>
      <c r="AT138" s="224">
        <v>44596</v>
      </c>
      <c r="AU138" s="224">
        <v>75270</v>
      </c>
      <c r="AV138">
        <v>976</v>
      </c>
      <c r="AW138" s="224">
        <v>20697</v>
      </c>
      <c r="AX138" s="224">
        <v>2609</v>
      </c>
      <c r="AY138" s="224">
        <v>30396</v>
      </c>
      <c r="AZ138" s="224">
        <v>4822</v>
      </c>
      <c r="BA138" s="224">
        <v>73209</v>
      </c>
      <c r="BB138" s="224">
        <v>80092</v>
      </c>
      <c r="BC138" s="225">
        <v>24403.83</v>
      </c>
      <c r="BD138" s="225">
        <v>19894.849999999999</v>
      </c>
      <c r="BE138">
        <v>452.94</v>
      </c>
      <c r="BF138" s="225">
        <v>1213.0899999999999</v>
      </c>
      <c r="BG138" s="224">
        <v>20470</v>
      </c>
      <c r="BH138">
        <v>0</v>
      </c>
      <c r="BI138" s="224">
        <v>4251</v>
      </c>
      <c r="BJ138" s="224">
        <v>40893</v>
      </c>
      <c r="BK138" s="224">
        <v>1983</v>
      </c>
      <c r="BL138" s="224">
        <v>4100</v>
      </c>
      <c r="BM138" s="224">
        <v>4400</v>
      </c>
      <c r="BN138">
        <v>200</v>
      </c>
      <c r="BO138" s="224">
        <v>4400</v>
      </c>
      <c r="BP138">
        <v>10</v>
      </c>
      <c r="BQ138">
        <v>74</v>
      </c>
      <c r="BR138">
        <v>5</v>
      </c>
      <c r="BS138">
        <v>23</v>
      </c>
      <c r="BT138">
        <v>45</v>
      </c>
      <c r="BU138">
        <v>43</v>
      </c>
      <c r="BV138">
        <v>79</v>
      </c>
      <c r="BW138" s="224">
        <v>3300</v>
      </c>
      <c r="BX138">
        <v>325</v>
      </c>
      <c r="BY138">
        <v>125</v>
      </c>
      <c r="BZ138">
        <v>650</v>
      </c>
      <c r="CA138">
        <v>19.2</v>
      </c>
      <c r="CB138">
        <v>19.399999999999999</v>
      </c>
      <c r="CC138">
        <v>19.100000000000001</v>
      </c>
      <c r="CD138">
        <v>79.8</v>
      </c>
      <c r="CE138">
        <v>77.8</v>
      </c>
      <c r="CF138">
        <v>7.2</v>
      </c>
      <c r="CG138">
        <v>7.5</v>
      </c>
      <c r="CH138">
        <v>69.2</v>
      </c>
      <c r="CI138">
        <v>71.3</v>
      </c>
      <c r="CJ138">
        <v>82.2</v>
      </c>
      <c r="CK138" s="224">
        <v>1330</v>
      </c>
      <c r="CL138" s="224">
        <v>1685</v>
      </c>
    </row>
    <row r="139" spans="1:90" ht="14.5">
      <c r="A139" t="s">
        <v>485</v>
      </c>
      <c r="B139" t="s">
        <v>486</v>
      </c>
      <c r="C139" t="s">
        <v>487</v>
      </c>
      <c r="D139" s="224">
        <v>221956</v>
      </c>
      <c r="E139" s="224">
        <v>274270</v>
      </c>
      <c r="F139" s="224">
        <v>205876</v>
      </c>
      <c r="G139" s="224">
        <v>253953</v>
      </c>
      <c r="H139" s="224">
        <v>16080</v>
      </c>
      <c r="I139" s="224">
        <v>20317</v>
      </c>
      <c r="J139" s="224">
        <v>2019</v>
      </c>
      <c r="K139" s="224">
        <v>2101</v>
      </c>
      <c r="L139">
        <v>5.9</v>
      </c>
      <c r="M139">
        <v>78.7</v>
      </c>
      <c r="N139">
        <v>82.9</v>
      </c>
      <c r="O139">
        <v>59.5</v>
      </c>
      <c r="P139">
        <v>59.2</v>
      </c>
      <c r="Q139">
        <v>860</v>
      </c>
      <c r="R139">
        <v>795</v>
      </c>
      <c r="S139" s="224">
        <v>40125</v>
      </c>
      <c r="T139">
        <v>12.9</v>
      </c>
      <c r="U139" s="224">
        <v>15068</v>
      </c>
      <c r="V139">
        <v>4.9000000000000004</v>
      </c>
      <c r="W139" s="224">
        <v>18551</v>
      </c>
      <c r="X139">
        <v>2.8</v>
      </c>
      <c r="Y139">
        <v>1.8</v>
      </c>
      <c r="Z139">
        <v>1.8</v>
      </c>
      <c r="AA139">
        <v>387</v>
      </c>
      <c r="AB139">
        <v>387</v>
      </c>
      <c r="AC139" s="224">
        <v>4485</v>
      </c>
      <c r="AD139">
        <v>500</v>
      </c>
      <c r="AE139" s="224">
        <v>1335</v>
      </c>
      <c r="AF139">
        <v>210</v>
      </c>
      <c r="AG139" t="s">
        <v>597</v>
      </c>
      <c r="AH139">
        <v>250</v>
      </c>
      <c r="AI139" s="224">
        <v>1530</v>
      </c>
      <c r="AJ139">
        <v>90</v>
      </c>
      <c r="AK139" t="s">
        <v>597</v>
      </c>
      <c r="AL139" s="224">
        <v>2240</v>
      </c>
      <c r="AM139" s="224">
        <v>2245</v>
      </c>
      <c r="AN139">
        <v>63</v>
      </c>
      <c r="AO139" s="224">
        <v>162962</v>
      </c>
      <c r="AP139" s="224">
        <v>178372</v>
      </c>
      <c r="AQ139" s="224">
        <v>189086</v>
      </c>
      <c r="AR139" s="224">
        <v>386352</v>
      </c>
      <c r="AS139" s="224">
        <v>75869</v>
      </c>
      <c r="AT139" s="224">
        <v>69643</v>
      </c>
      <c r="AU139" s="224">
        <v>131036</v>
      </c>
      <c r="AV139" s="224">
        <v>3461</v>
      </c>
      <c r="AW139" s="224">
        <v>38435</v>
      </c>
      <c r="AX139" s="224">
        <v>5401</v>
      </c>
      <c r="AY139" s="224">
        <v>48333</v>
      </c>
      <c r="AZ139" s="224">
        <v>8251</v>
      </c>
      <c r="BA139" s="224">
        <v>125176</v>
      </c>
      <c r="BB139" s="224">
        <v>139287</v>
      </c>
      <c r="BC139" s="225">
        <v>31817.86</v>
      </c>
      <c r="BD139" s="225">
        <v>30296.21</v>
      </c>
      <c r="BE139">
        <v>312.38</v>
      </c>
      <c r="BF139" s="225">
        <v>3693.66</v>
      </c>
      <c r="BG139" s="224">
        <v>6340</v>
      </c>
      <c r="BH139">
        <v>0</v>
      </c>
      <c r="BI139" s="224">
        <v>11545</v>
      </c>
      <c r="BJ139" s="224">
        <v>18732</v>
      </c>
      <c r="BK139" s="224">
        <v>3564</v>
      </c>
      <c r="BL139" s="224">
        <v>6300</v>
      </c>
      <c r="BM139" s="224">
        <v>6800</v>
      </c>
      <c r="BN139">
        <v>275</v>
      </c>
      <c r="BO139" s="224">
        <v>6400</v>
      </c>
      <c r="BP139">
        <v>475</v>
      </c>
      <c r="BQ139">
        <v>72</v>
      </c>
      <c r="BR139">
        <v>3</v>
      </c>
      <c r="BS139">
        <v>34</v>
      </c>
      <c r="BT139">
        <v>41</v>
      </c>
      <c r="BU139">
        <v>44</v>
      </c>
      <c r="BV139">
        <v>12</v>
      </c>
      <c r="BW139" s="224">
        <v>5400</v>
      </c>
      <c r="BX139">
        <v>600</v>
      </c>
      <c r="BY139">
        <v>250</v>
      </c>
      <c r="BZ139">
        <v>600</v>
      </c>
      <c r="CA139">
        <v>18.7</v>
      </c>
      <c r="CB139">
        <v>19</v>
      </c>
      <c r="CC139">
        <v>18.3</v>
      </c>
      <c r="CD139">
        <v>77.599999999999994</v>
      </c>
      <c r="CE139">
        <v>76.5</v>
      </c>
      <c r="CF139">
        <v>7.7</v>
      </c>
      <c r="CG139">
        <v>8.1999999999999993</v>
      </c>
      <c r="CH139">
        <v>67</v>
      </c>
      <c r="CI139">
        <v>62.5</v>
      </c>
      <c r="CJ139">
        <v>90</v>
      </c>
      <c r="CK139" s="224">
        <v>2185</v>
      </c>
      <c r="CL139" s="224">
        <v>2420</v>
      </c>
    </row>
    <row r="140" spans="1:90" ht="14.5">
      <c r="A140" t="s">
        <v>488</v>
      </c>
      <c r="B140" t="s">
        <v>489</v>
      </c>
      <c r="C140" t="s">
        <v>490</v>
      </c>
      <c r="D140" s="224">
        <v>179070</v>
      </c>
      <c r="E140" s="224">
        <v>184908</v>
      </c>
      <c r="F140" s="224">
        <v>139501</v>
      </c>
      <c r="G140" s="224">
        <v>141662</v>
      </c>
      <c r="H140" s="224">
        <v>39569</v>
      </c>
      <c r="I140" s="224">
        <v>43246</v>
      </c>
      <c r="J140" s="224">
        <v>5616</v>
      </c>
      <c r="K140" s="224">
        <v>6322</v>
      </c>
      <c r="L140">
        <v>8</v>
      </c>
      <c r="M140">
        <v>79.8</v>
      </c>
      <c r="N140">
        <v>83.7</v>
      </c>
      <c r="O140">
        <v>63.8</v>
      </c>
      <c r="P140">
        <v>65.2</v>
      </c>
      <c r="Q140">
        <v>535</v>
      </c>
      <c r="R140">
        <v>455</v>
      </c>
      <c r="S140" s="224">
        <v>37550</v>
      </c>
      <c r="T140">
        <v>16</v>
      </c>
      <c r="U140" s="224">
        <v>10928</v>
      </c>
      <c r="V140">
        <v>4.5999999999999996</v>
      </c>
      <c r="W140" s="224">
        <v>18822</v>
      </c>
      <c r="X140">
        <v>4.5</v>
      </c>
      <c r="Y140">
        <v>1.7</v>
      </c>
      <c r="Z140">
        <v>2.2999999999999998</v>
      </c>
      <c r="AA140" s="224">
        <v>1670</v>
      </c>
      <c r="AB140" s="224">
        <v>1713</v>
      </c>
      <c r="AC140" s="224">
        <v>3790</v>
      </c>
      <c r="AD140">
        <v>380</v>
      </c>
      <c r="AE140" t="s">
        <v>597</v>
      </c>
      <c r="AF140">
        <v>670</v>
      </c>
      <c r="AG140" t="s">
        <v>597</v>
      </c>
      <c r="AH140">
        <v>95</v>
      </c>
      <c r="AI140" t="s">
        <v>597</v>
      </c>
      <c r="AJ140" s="224">
        <v>1660</v>
      </c>
      <c r="AK140" t="s">
        <v>597</v>
      </c>
      <c r="AL140" s="224">
        <v>1180</v>
      </c>
      <c r="AM140" s="224">
        <v>2610</v>
      </c>
      <c r="AN140">
        <v>58.1</v>
      </c>
      <c r="AO140" s="224">
        <v>113630</v>
      </c>
      <c r="AP140" s="224">
        <v>127855</v>
      </c>
      <c r="AQ140" s="224">
        <v>107315</v>
      </c>
      <c r="AR140" s="224">
        <v>223248</v>
      </c>
      <c r="AS140" s="224">
        <v>54078</v>
      </c>
      <c r="AT140" s="224">
        <v>55692</v>
      </c>
      <c r="AU140" s="224">
        <v>96741</v>
      </c>
      <c r="AV140" s="224">
        <v>2102</v>
      </c>
      <c r="AW140" s="224">
        <v>31827</v>
      </c>
      <c r="AX140" s="224">
        <v>4125</v>
      </c>
      <c r="AY140" s="224">
        <v>40812</v>
      </c>
      <c r="AZ140" s="224">
        <v>5703</v>
      </c>
      <c r="BA140" s="224">
        <v>94759</v>
      </c>
      <c r="BB140" s="224">
        <v>102444</v>
      </c>
      <c r="BC140" s="225">
        <v>40796.61</v>
      </c>
      <c r="BD140" s="225">
        <v>20806.13</v>
      </c>
      <c r="BE140">
        <v>396.58</v>
      </c>
      <c r="BF140" s="225">
        <v>1383.18</v>
      </c>
      <c r="BG140" s="224">
        <v>19583</v>
      </c>
      <c r="BH140" s="224">
        <v>8938</v>
      </c>
      <c r="BI140" s="224">
        <v>8201</v>
      </c>
      <c r="BJ140" s="224">
        <v>9248</v>
      </c>
      <c r="BK140">
        <v>872</v>
      </c>
      <c r="BL140" s="224">
        <v>4700</v>
      </c>
      <c r="BM140" s="224">
        <v>5100</v>
      </c>
      <c r="BN140">
        <v>250</v>
      </c>
      <c r="BO140" s="224">
        <v>4600</v>
      </c>
      <c r="BP140">
        <v>550</v>
      </c>
      <c r="BQ140">
        <v>77</v>
      </c>
      <c r="BR140">
        <v>4</v>
      </c>
      <c r="BS140">
        <v>26</v>
      </c>
      <c r="BT140">
        <v>38</v>
      </c>
      <c r="BU140">
        <v>43</v>
      </c>
      <c r="BV140">
        <v>62</v>
      </c>
      <c r="BW140" s="224">
        <v>3800</v>
      </c>
      <c r="BX140">
        <v>375</v>
      </c>
      <c r="BY140">
        <v>250</v>
      </c>
      <c r="BZ140">
        <v>700</v>
      </c>
      <c r="CA140">
        <v>18.8</v>
      </c>
      <c r="CB140">
        <v>19.8</v>
      </c>
      <c r="CC140">
        <v>18.100000000000001</v>
      </c>
      <c r="CD140">
        <v>74.3</v>
      </c>
      <c r="CE140">
        <v>67.2</v>
      </c>
      <c r="CF140">
        <v>6.9</v>
      </c>
      <c r="CG140">
        <v>7.1</v>
      </c>
      <c r="CH140">
        <v>62.8</v>
      </c>
      <c r="CI140">
        <v>61.1</v>
      </c>
      <c r="CJ140">
        <v>88.5</v>
      </c>
      <c r="CK140" s="224">
        <v>4135</v>
      </c>
      <c r="CL140" s="224">
        <v>3145</v>
      </c>
    </row>
    <row r="141" spans="1:90" ht="14.5">
      <c r="A141" t="s">
        <v>491</v>
      </c>
      <c r="B141" t="s">
        <v>492</v>
      </c>
      <c r="C141" t="s">
        <v>493</v>
      </c>
      <c r="D141" s="224">
        <v>264447</v>
      </c>
      <c r="E141" s="224">
        <v>292640</v>
      </c>
      <c r="F141" s="224">
        <v>202735</v>
      </c>
      <c r="G141" s="224">
        <v>221148</v>
      </c>
      <c r="H141" s="224">
        <v>61712</v>
      </c>
      <c r="I141" s="224">
        <v>71492</v>
      </c>
      <c r="J141" s="224">
        <v>7145</v>
      </c>
      <c r="K141" s="224">
        <v>8408</v>
      </c>
      <c r="L141">
        <v>9</v>
      </c>
      <c r="M141">
        <v>77.7</v>
      </c>
      <c r="N141">
        <v>81.400000000000006</v>
      </c>
      <c r="O141">
        <v>54</v>
      </c>
      <c r="P141">
        <v>53.8</v>
      </c>
      <c r="Q141" s="225">
        <v>1045</v>
      </c>
      <c r="R141">
        <v>905</v>
      </c>
      <c r="S141" s="224">
        <v>71206</v>
      </c>
      <c r="T141">
        <v>20.2</v>
      </c>
      <c r="U141" s="224">
        <v>23138</v>
      </c>
      <c r="V141">
        <v>6.5</v>
      </c>
      <c r="W141" s="224">
        <v>31731</v>
      </c>
      <c r="X141">
        <v>4.2</v>
      </c>
      <c r="Y141">
        <v>2.1</v>
      </c>
      <c r="Z141">
        <v>3.3</v>
      </c>
      <c r="AA141" s="224">
        <v>2865</v>
      </c>
      <c r="AB141" s="224">
        <v>2964</v>
      </c>
      <c r="AC141" s="224">
        <v>6000</v>
      </c>
      <c r="AD141">
        <v>360</v>
      </c>
      <c r="AE141" s="224">
        <v>1155</v>
      </c>
      <c r="AF141" t="s">
        <v>597</v>
      </c>
      <c r="AG141" t="s">
        <v>597</v>
      </c>
      <c r="AH141">
        <v>145</v>
      </c>
      <c r="AI141" s="224">
        <v>2400</v>
      </c>
      <c r="AJ141" t="s">
        <v>597</v>
      </c>
      <c r="AK141" t="s">
        <v>597</v>
      </c>
      <c r="AL141" s="224">
        <v>1810</v>
      </c>
      <c r="AM141" s="224">
        <v>4190</v>
      </c>
      <c r="AN141">
        <v>73.5</v>
      </c>
      <c r="AO141" s="224">
        <v>192410</v>
      </c>
      <c r="AP141" s="224">
        <v>209125</v>
      </c>
      <c r="AQ141" s="224">
        <v>171678</v>
      </c>
      <c r="AR141" s="224">
        <v>448340</v>
      </c>
      <c r="AS141" s="224">
        <v>78531</v>
      </c>
      <c r="AT141" s="224">
        <v>92736</v>
      </c>
      <c r="AU141" s="224">
        <v>151302</v>
      </c>
      <c r="AV141" s="224">
        <v>1407</v>
      </c>
      <c r="AW141" s="224">
        <v>53896</v>
      </c>
      <c r="AX141" s="224">
        <v>7492</v>
      </c>
      <c r="AY141" s="224">
        <v>70162</v>
      </c>
      <c r="AZ141" s="224">
        <v>8013</v>
      </c>
      <c r="BA141" s="224">
        <v>141503</v>
      </c>
      <c r="BB141" s="224">
        <v>159315</v>
      </c>
      <c r="BC141" s="225">
        <v>39944.75</v>
      </c>
      <c r="BD141" s="225">
        <v>20767.3</v>
      </c>
      <c r="BE141">
        <v>361.47</v>
      </c>
      <c r="BF141" s="225">
        <v>1401.95</v>
      </c>
      <c r="BG141" s="224">
        <v>37171</v>
      </c>
      <c r="BH141" s="224">
        <v>1628</v>
      </c>
      <c r="BI141" s="224">
        <v>15264</v>
      </c>
      <c r="BJ141" s="224">
        <v>45786</v>
      </c>
      <c r="BK141" s="224">
        <v>2190</v>
      </c>
      <c r="BL141" s="224">
        <v>8400</v>
      </c>
      <c r="BM141" s="224">
        <v>9000</v>
      </c>
      <c r="BN141">
        <v>600</v>
      </c>
      <c r="BO141" s="224">
        <v>7900</v>
      </c>
      <c r="BP141" s="224">
        <v>1100</v>
      </c>
      <c r="BQ141">
        <v>79</v>
      </c>
      <c r="BR141">
        <v>2</v>
      </c>
      <c r="BS141">
        <v>18</v>
      </c>
      <c r="BT141">
        <v>45</v>
      </c>
      <c r="BU141">
        <v>42</v>
      </c>
      <c r="BV141">
        <v>76</v>
      </c>
      <c r="BW141" s="224">
        <v>6400</v>
      </c>
      <c r="BX141">
        <v>850</v>
      </c>
      <c r="BY141">
        <v>400</v>
      </c>
      <c r="BZ141" s="224">
        <v>1300</v>
      </c>
      <c r="CA141">
        <v>19.7</v>
      </c>
      <c r="CB141">
        <v>20.5</v>
      </c>
      <c r="CC141">
        <v>19.3</v>
      </c>
      <c r="CD141">
        <v>85.1</v>
      </c>
      <c r="CE141">
        <v>82.6</v>
      </c>
      <c r="CF141">
        <v>7.6</v>
      </c>
      <c r="CG141">
        <v>7.7</v>
      </c>
      <c r="CH141">
        <v>72.599999999999994</v>
      </c>
      <c r="CI141">
        <v>69.5</v>
      </c>
      <c r="CJ141">
        <v>75.599999999999994</v>
      </c>
      <c r="CK141">
        <v>860</v>
      </c>
      <c r="CL141" s="224">
        <v>1100</v>
      </c>
    </row>
    <row r="142" spans="1:90" ht="14.5">
      <c r="A142" t="s">
        <v>494</v>
      </c>
      <c r="B142" t="s">
        <v>495</v>
      </c>
      <c r="C142" t="s">
        <v>496</v>
      </c>
      <c r="D142" s="224">
        <v>210513</v>
      </c>
      <c r="E142" s="224">
        <v>224742</v>
      </c>
      <c r="F142" s="224">
        <v>161532</v>
      </c>
      <c r="G142" s="224">
        <v>173545</v>
      </c>
      <c r="H142" s="224">
        <v>48981</v>
      </c>
      <c r="I142" s="224">
        <v>51197</v>
      </c>
      <c r="J142" s="224">
        <v>6137</v>
      </c>
      <c r="K142" s="224">
        <v>7335</v>
      </c>
      <c r="L142">
        <v>9.3000000000000007</v>
      </c>
      <c r="M142">
        <v>77.599999999999994</v>
      </c>
      <c r="N142">
        <v>81.8</v>
      </c>
      <c r="O142">
        <v>56.2</v>
      </c>
      <c r="P142">
        <v>55</v>
      </c>
      <c r="Q142">
        <v>660</v>
      </c>
      <c r="R142">
        <v>555</v>
      </c>
      <c r="S142" s="224">
        <v>54153</v>
      </c>
      <c r="T142">
        <v>19.100000000000001</v>
      </c>
      <c r="U142" s="224">
        <v>18706</v>
      </c>
      <c r="V142">
        <v>6.6</v>
      </c>
      <c r="W142" s="224">
        <v>26415</v>
      </c>
      <c r="X142">
        <v>4</v>
      </c>
      <c r="Y142">
        <v>2.4</v>
      </c>
      <c r="Z142">
        <v>3.4</v>
      </c>
      <c r="AA142" s="224">
        <v>1977</v>
      </c>
      <c r="AB142" s="224">
        <v>2067</v>
      </c>
      <c r="AC142" s="224">
        <v>4530</v>
      </c>
      <c r="AD142">
        <v>485</v>
      </c>
      <c r="AE142">
        <v>700</v>
      </c>
      <c r="AF142" t="s">
        <v>597</v>
      </c>
      <c r="AG142" t="s">
        <v>597</v>
      </c>
      <c r="AH142">
        <v>300</v>
      </c>
      <c r="AI142" s="224">
        <v>1795</v>
      </c>
      <c r="AJ142" t="s">
        <v>597</v>
      </c>
      <c r="AK142" t="s">
        <v>597</v>
      </c>
      <c r="AL142" s="224">
        <v>1345</v>
      </c>
      <c r="AM142" s="224">
        <v>3185</v>
      </c>
      <c r="AN142">
        <v>63.7</v>
      </c>
      <c r="AO142" s="224">
        <v>139850</v>
      </c>
      <c r="AP142" s="224">
        <v>166322</v>
      </c>
      <c r="AQ142" s="224">
        <v>148023</v>
      </c>
      <c r="AR142" s="224">
        <v>318904</v>
      </c>
      <c r="AS142" s="224">
        <v>52995</v>
      </c>
      <c r="AT142" s="224">
        <v>74774</v>
      </c>
      <c r="AU142" s="224">
        <v>111661</v>
      </c>
      <c r="AV142">
        <v>978</v>
      </c>
      <c r="AW142" s="224">
        <v>29827</v>
      </c>
      <c r="AX142" s="224">
        <v>4888</v>
      </c>
      <c r="AY142" s="224">
        <v>50285</v>
      </c>
      <c r="AZ142" s="224">
        <v>3756</v>
      </c>
      <c r="BA142" s="224">
        <v>106210</v>
      </c>
      <c r="BB142" s="224">
        <v>115417</v>
      </c>
      <c r="BC142" s="225">
        <v>35002.230000000003</v>
      </c>
      <c r="BD142" s="225">
        <v>21456.51</v>
      </c>
      <c r="BE142">
        <v>311</v>
      </c>
      <c r="BF142" s="225">
        <v>1555.99</v>
      </c>
      <c r="BG142" s="224">
        <v>18300</v>
      </c>
      <c r="BH142">
        <v>0</v>
      </c>
      <c r="BI142" s="224">
        <v>11926</v>
      </c>
      <c r="BJ142" s="224">
        <v>14369</v>
      </c>
      <c r="BK142" s="224">
        <v>5400</v>
      </c>
      <c r="BL142" s="224">
        <v>6700</v>
      </c>
      <c r="BM142" s="224">
        <v>7100</v>
      </c>
      <c r="BN142">
        <v>850</v>
      </c>
      <c r="BO142" s="224">
        <v>6700</v>
      </c>
      <c r="BP142">
        <v>425</v>
      </c>
      <c r="BQ142">
        <v>82</v>
      </c>
      <c r="BR142">
        <v>3</v>
      </c>
      <c r="BS142">
        <v>38</v>
      </c>
      <c r="BT142">
        <v>41</v>
      </c>
      <c r="BU142">
        <v>42</v>
      </c>
      <c r="BV142">
        <v>52</v>
      </c>
      <c r="BW142" s="224">
        <v>5300</v>
      </c>
      <c r="BX142">
        <v>550</v>
      </c>
      <c r="BY142">
        <v>275</v>
      </c>
      <c r="BZ142">
        <v>950</v>
      </c>
      <c r="CA142">
        <v>19.100000000000001</v>
      </c>
      <c r="CB142">
        <v>19.8</v>
      </c>
      <c r="CC142">
        <v>18.7</v>
      </c>
      <c r="CD142">
        <v>77.3</v>
      </c>
      <c r="CE142">
        <v>74.400000000000006</v>
      </c>
      <c r="CF142">
        <v>6.4</v>
      </c>
      <c r="CG142">
        <v>6.6</v>
      </c>
      <c r="CH142">
        <v>70.599999999999994</v>
      </c>
      <c r="CI142">
        <v>68.400000000000006</v>
      </c>
      <c r="CJ142">
        <v>71.400000000000006</v>
      </c>
      <c r="CK142">
        <v>510</v>
      </c>
      <c r="CL142">
        <v>570</v>
      </c>
    </row>
    <row r="143" spans="1:90" ht="14.5">
      <c r="A143" t="s">
        <v>497</v>
      </c>
      <c r="B143" t="s">
        <v>498</v>
      </c>
      <c r="C143" t="s">
        <v>499</v>
      </c>
      <c r="D143" s="224">
        <v>210538</v>
      </c>
      <c r="E143" s="224">
        <v>223557</v>
      </c>
      <c r="F143" s="224">
        <v>183562</v>
      </c>
      <c r="G143" s="224">
        <v>192219</v>
      </c>
      <c r="H143" s="224">
        <v>26976</v>
      </c>
      <c r="I143" s="224">
        <v>31338</v>
      </c>
      <c r="J143" s="224">
        <v>3563</v>
      </c>
      <c r="K143" s="224">
        <v>3874</v>
      </c>
      <c r="L143">
        <v>6.6</v>
      </c>
      <c r="M143">
        <v>79.8</v>
      </c>
      <c r="N143">
        <v>84</v>
      </c>
      <c r="O143">
        <v>64.400000000000006</v>
      </c>
      <c r="P143">
        <v>64.5</v>
      </c>
      <c r="Q143">
        <v>755</v>
      </c>
      <c r="R143">
        <v>670</v>
      </c>
      <c r="S143" s="224">
        <v>36762</v>
      </c>
      <c r="T143">
        <v>13.2</v>
      </c>
      <c r="U143" s="224">
        <v>12230</v>
      </c>
      <c r="V143">
        <v>4.4000000000000004</v>
      </c>
      <c r="W143" s="224">
        <v>18281</v>
      </c>
      <c r="X143">
        <v>3.4</v>
      </c>
      <c r="Y143">
        <v>1.7</v>
      </c>
      <c r="Z143">
        <v>1.9</v>
      </c>
      <c r="AA143" s="224">
        <v>1034</v>
      </c>
      <c r="AB143" s="224">
        <v>1026</v>
      </c>
      <c r="AC143" s="224">
        <v>4365</v>
      </c>
      <c r="AD143">
        <v>620</v>
      </c>
      <c r="AE143" t="s">
        <v>597</v>
      </c>
      <c r="AF143" t="s">
        <v>597</v>
      </c>
      <c r="AG143" s="224">
        <v>1100</v>
      </c>
      <c r="AH143">
        <v>240</v>
      </c>
      <c r="AI143" t="s">
        <v>597</v>
      </c>
      <c r="AJ143" t="s">
        <v>597</v>
      </c>
      <c r="AK143" s="224">
        <v>1660</v>
      </c>
      <c r="AL143" s="224">
        <v>1865</v>
      </c>
      <c r="AM143" s="224">
        <v>2500</v>
      </c>
      <c r="AN143">
        <v>61.9</v>
      </c>
      <c r="AO143" s="224">
        <v>126455</v>
      </c>
      <c r="AP143" s="224">
        <v>138020</v>
      </c>
      <c r="AQ143" s="224">
        <v>124599</v>
      </c>
      <c r="AR143" s="224">
        <v>324310</v>
      </c>
      <c r="AS143" s="224">
        <v>63659</v>
      </c>
      <c r="AT143" s="224">
        <v>50922</v>
      </c>
      <c r="AU143" s="224">
        <v>101322</v>
      </c>
      <c r="AV143">
        <v>803</v>
      </c>
      <c r="AW143" s="224">
        <v>33939</v>
      </c>
      <c r="AX143" s="224">
        <v>3341</v>
      </c>
      <c r="AY143" s="224">
        <v>38660</v>
      </c>
      <c r="AZ143" s="224">
        <v>5101</v>
      </c>
      <c r="BA143" s="224">
        <v>94205</v>
      </c>
      <c r="BB143" s="224">
        <v>106423</v>
      </c>
      <c r="BC143" s="225">
        <v>31265.42</v>
      </c>
      <c r="BD143" s="225">
        <v>19245.2</v>
      </c>
      <c r="BE143">
        <v>335.36</v>
      </c>
      <c r="BF143" s="225">
        <v>1731.54</v>
      </c>
      <c r="BG143" s="224">
        <v>17640</v>
      </c>
      <c r="BH143">
        <v>0</v>
      </c>
      <c r="BI143" s="224">
        <v>9918</v>
      </c>
      <c r="BJ143" s="224">
        <v>16576</v>
      </c>
      <c r="BK143" s="224">
        <v>3612</v>
      </c>
      <c r="BL143" s="224">
        <v>3900</v>
      </c>
      <c r="BM143" s="224">
        <v>4600</v>
      </c>
      <c r="BN143">
        <v>250</v>
      </c>
      <c r="BO143" s="224">
        <v>4200</v>
      </c>
      <c r="BP143">
        <v>375</v>
      </c>
      <c r="BQ143">
        <v>78</v>
      </c>
      <c r="BR143">
        <v>7</v>
      </c>
      <c r="BS143">
        <v>44</v>
      </c>
      <c r="BT143">
        <v>40</v>
      </c>
      <c r="BU143">
        <v>44</v>
      </c>
      <c r="BV143">
        <v>18</v>
      </c>
      <c r="BW143" s="224">
        <v>3700</v>
      </c>
      <c r="BX143">
        <v>375</v>
      </c>
      <c r="BY143">
        <v>125</v>
      </c>
      <c r="BZ143">
        <v>400</v>
      </c>
      <c r="CA143">
        <v>19</v>
      </c>
      <c r="CB143">
        <v>19.600000000000001</v>
      </c>
      <c r="CC143">
        <v>18.399999999999999</v>
      </c>
      <c r="CD143">
        <v>77.5</v>
      </c>
      <c r="CE143">
        <v>76.900000000000006</v>
      </c>
      <c r="CF143">
        <v>7.7</v>
      </c>
      <c r="CG143">
        <v>7.4</v>
      </c>
      <c r="CH143">
        <v>70.099999999999994</v>
      </c>
      <c r="CI143">
        <v>65.7</v>
      </c>
      <c r="CJ143">
        <v>95.5</v>
      </c>
      <c r="CK143">
        <v>905</v>
      </c>
      <c r="CL143" s="224">
        <v>1035</v>
      </c>
    </row>
    <row r="144" spans="1:90" ht="14.5">
      <c r="A144" t="s">
        <v>500</v>
      </c>
      <c r="B144" t="s">
        <v>501</v>
      </c>
      <c r="C144" t="s">
        <v>502</v>
      </c>
      <c r="D144" s="224">
        <v>263255</v>
      </c>
      <c r="E144" s="224">
        <v>283443</v>
      </c>
      <c r="F144" s="224">
        <v>234211</v>
      </c>
      <c r="G144" s="224">
        <v>248679</v>
      </c>
      <c r="H144" s="224">
        <v>29044</v>
      </c>
      <c r="I144" s="224">
        <v>34764</v>
      </c>
      <c r="J144" s="224">
        <v>3706</v>
      </c>
      <c r="K144" s="224">
        <v>4637</v>
      </c>
      <c r="L144">
        <v>5.4</v>
      </c>
      <c r="M144">
        <v>80.599999999999994</v>
      </c>
      <c r="N144">
        <v>85.1</v>
      </c>
      <c r="O144">
        <v>63.8</v>
      </c>
      <c r="P144">
        <v>63.8</v>
      </c>
      <c r="Q144">
        <v>880</v>
      </c>
      <c r="R144">
        <v>750</v>
      </c>
      <c r="S144" s="224">
        <v>37444</v>
      </c>
      <c r="T144">
        <v>11.4</v>
      </c>
      <c r="U144" s="224">
        <v>10265</v>
      </c>
      <c r="V144">
        <v>3.1</v>
      </c>
      <c r="W144" s="224">
        <v>17705</v>
      </c>
      <c r="X144">
        <v>3.1</v>
      </c>
      <c r="Y144">
        <v>1.3</v>
      </c>
      <c r="Z144">
        <v>1.4</v>
      </c>
      <c r="AA144" s="224">
        <v>1454</v>
      </c>
      <c r="AB144" s="224">
        <v>1278</v>
      </c>
      <c r="AC144" s="224">
        <v>3995</v>
      </c>
      <c r="AD144">
        <v>430</v>
      </c>
      <c r="AE144" s="224">
        <v>1030</v>
      </c>
      <c r="AF144" t="s">
        <v>597</v>
      </c>
      <c r="AG144" t="s">
        <v>597</v>
      </c>
      <c r="AH144">
        <v>285</v>
      </c>
      <c r="AI144" s="224">
        <v>1335</v>
      </c>
      <c r="AJ144" t="s">
        <v>597</v>
      </c>
      <c r="AK144" t="s">
        <v>597</v>
      </c>
      <c r="AL144" s="224">
        <v>1715</v>
      </c>
      <c r="AM144" s="224">
        <v>2280</v>
      </c>
      <c r="AN144">
        <v>62.9</v>
      </c>
      <c r="AO144" s="224">
        <v>149634</v>
      </c>
      <c r="AP144" s="224">
        <v>161605</v>
      </c>
      <c r="AQ144" s="224">
        <v>145975</v>
      </c>
      <c r="AR144" s="224">
        <v>268249</v>
      </c>
      <c r="AS144" s="224">
        <v>62200</v>
      </c>
      <c r="AT144" s="224">
        <v>54674</v>
      </c>
      <c r="AU144" s="224">
        <v>108015</v>
      </c>
      <c r="AV144" s="224">
        <v>2470</v>
      </c>
      <c r="AW144" s="224">
        <v>41863</v>
      </c>
      <c r="AX144" s="224">
        <v>4670</v>
      </c>
      <c r="AY144" s="224">
        <v>21277</v>
      </c>
      <c r="AZ144" s="224">
        <v>3653</v>
      </c>
      <c r="BA144" s="224">
        <v>103433</v>
      </c>
      <c r="BB144" s="224">
        <v>111668</v>
      </c>
      <c r="BC144" s="225">
        <v>35776.089999999997</v>
      </c>
      <c r="BD144" s="225">
        <v>22066.67</v>
      </c>
      <c r="BE144">
        <v>260.05</v>
      </c>
      <c r="BF144" s="225">
        <v>1707.05</v>
      </c>
      <c r="BG144" s="224">
        <v>16890</v>
      </c>
      <c r="BH144">
        <v>124</v>
      </c>
      <c r="BI144" s="224">
        <v>11497</v>
      </c>
      <c r="BJ144" s="224">
        <v>25593</v>
      </c>
      <c r="BK144">
        <v>885</v>
      </c>
      <c r="BL144" s="224">
        <v>4500</v>
      </c>
      <c r="BM144" s="224">
        <v>5200</v>
      </c>
      <c r="BN144">
        <v>200</v>
      </c>
      <c r="BO144" s="224">
        <v>4600</v>
      </c>
      <c r="BP144">
        <v>600</v>
      </c>
      <c r="BQ144">
        <v>80</v>
      </c>
      <c r="BR144">
        <v>10</v>
      </c>
      <c r="BS144">
        <v>35</v>
      </c>
      <c r="BT144">
        <v>34</v>
      </c>
      <c r="BU144">
        <v>48</v>
      </c>
      <c r="BV144">
        <v>31</v>
      </c>
      <c r="BW144" s="224">
        <v>3500</v>
      </c>
      <c r="BX144">
        <v>500</v>
      </c>
      <c r="BY144">
        <v>400</v>
      </c>
      <c r="BZ144">
        <v>750</v>
      </c>
      <c r="CA144">
        <v>19.399999999999999</v>
      </c>
      <c r="CB144">
        <v>19.899999999999999</v>
      </c>
      <c r="CC144">
        <v>19</v>
      </c>
      <c r="CD144">
        <v>77.5</v>
      </c>
      <c r="CE144">
        <v>72.5</v>
      </c>
      <c r="CF144">
        <v>7.3</v>
      </c>
      <c r="CG144">
        <v>7.6</v>
      </c>
      <c r="CH144">
        <v>71.7</v>
      </c>
      <c r="CI144">
        <v>71</v>
      </c>
      <c r="CJ144">
        <v>100</v>
      </c>
      <c r="CK144">
        <v>860</v>
      </c>
      <c r="CL144">
        <v>930</v>
      </c>
    </row>
    <row r="145" spans="1:90" ht="14.5">
      <c r="A145" t="s">
        <v>503</v>
      </c>
      <c r="B145" t="s">
        <v>504</v>
      </c>
      <c r="C145" t="s">
        <v>505</v>
      </c>
      <c r="D145" s="224">
        <v>165136</v>
      </c>
      <c r="E145" s="224">
        <v>171679</v>
      </c>
      <c r="F145" s="224">
        <v>128286</v>
      </c>
      <c r="G145" s="224">
        <v>128085</v>
      </c>
      <c r="H145" s="224">
        <v>36850</v>
      </c>
      <c r="I145" s="224">
        <v>43594</v>
      </c>
      <c r="J145" s="224">
        <v>4087</v>
      </c>
      <c r="K145" s="224">
        <v>5898</v>
      </c>
      <c r="L145">
        <v>9</v>
      </c>
      <c r="M145">
        <v>78.7</v>
      </c>
      <c r="N145">
        <v>82.1</v>
      </c>
      <c r="O145">
        <v>62.1</v>
      </c>
      <c r="P145">
        <v>63.3</v>
      </c>
      <c r="Q145">
        <v>555</v>
      </c>
      <c r="R145">
        <v>490</v>
      </c>
      <c r="S145" s="224">
        <v>37266</v>
      </c>
      <c r="T145">
        <v>17.7</v>
      </c>
      <c r="U145" s="224">
        <v>10624</v>
      </c>
      <c r="V145">
        <v>5</v>
      </c>
      <c r="W145" s="224">
        <v>19099</v>
      </c>
      <c r="X145">
        <v>4.9000000000000004</v>
      </c>
      <c r="Y145">
        <v>1.9</v>
      </c>
      <c r="Z145">
        <v>2.7</v>
      </c>
      <c r="AA145" s="224">
        <v>1990</v>
      </c>
      <c r="AB145" s="224">
        <v>2133</v>
      </c>
      <c r="AC145" s="224">
        <v>4025</v>
      </c>
      <c r="AD145">
        <v>430</v>
      </c>
      <c r="AE145">
        <v>805</v>
      </c>
      <c r="AF145">
        <v>40</v>
      </c>
      <c r="AG145" t="s">
        <v>597</v>
      </c>
      <c r="AH145">
        <v>125</v>
      </c>
      <c r="AI145" s="224">
        <v>1425</v>
      </c>
      <c r="AJ145">
        <v>5</v>
      </c>
      <c r="AK145" t="s">
        <v>597</v>
      </c>
      <c r="AL145" s="224">
        <v>1400</v>
      </c>
      <c r="AM145" s="224">
        <v>2625</v>
      </c>
      <c r="AN145">
        <v>58.6</v>
      </c>
      <c r="AO145" s="224">
        <v>68285</v>
      </c>
      <c r="AP145" s="224">
        <v>148646</v>
      </c>
      <c r="AQ145" s="224">
        <v>121756</v>
      </c>
      <c r="AR145" s="224">
        <v>145590</v>
      </c>
      <c r="AS145" s="224">
        <v>62598</v>
      </c>
      <c r="AT145" s="224">
        <v>54369</v>
      </c>
      <c r="AU145" s="224">
        <v>37821</v>
      </c>
      <c r="AV145" s="224">
        <v>2102</v>
      </c>
      <c r="AW145" s="224">
        <v>27282</v>
      </c>
      <c r="AX145" s="224">
        <v>8858</v>
      </c>
      <c r="AY145" s="224">
        <v>6113</v>
      </c>
      <c r="AZ145" s="224">
        <v>12326</v>
      </c>
      <c r="BA145" s="224">
        <v>100539</v>
      </c>
      <c r="BB145" s="224">
        <v>50147</v>
      </c>
      <c r="BC145" s="225">
        <v>30975</v>
      </c>
      <c r="BD145" s="225">
        <v>2583.62</v>
      </c>
      <c r="BE145">
        <v>505.13</v>
      </c>
      <c r="BF145" s="225">
        <v>1450.36</v>
      </c>
      <c r="BG145" s="224">
        <v>26890</v>
      </c>
      <c r="BH145">
        <v>0</v>
      </c>
      <c r="BI145" s="224">
        <v>26686</v>
      </c>
      <c r="BJ145" s="224">
        <v>28170</v>
      </c>
      <c r="BK145">
        <v>799</v>
      </c>
      <c r="BL145" s="224">
        <v>6600</v>
      </c>
      <c r="BM145" s="224">
        <v>7300</v>
      </c>
      <c r="BN145">
        <v>450</v>
      </c>
      <c r="BO145" s="224">
        <v>6700</v>
      </c>
      <c r="BP145">
        <v>650</v>
      </c>
      <c r="BQ145">
        <v>76</v>
      </c>
      <c r="BR145">
        <v>3</v>
      </c>
      <c r="BS145">
        <v>18</v>
      </c>
      <c r="BT145">
        <v>36</v>
      </c>
      <c r="BU145">
        <v>43</v>
      </c>
      <c r="BV145">
        <v>75</v>
      </c>
      <c r="BW145" s="224">
        <v>5700</v>
      </c>
      <c r="BX145">
        <v>550</v>
      </c>
      <c r="BY145">
        <v>325</v>
      </c>
      <c r="BZ145">
        <v>750</v>
      </c>
      <c r="CA145">
        <v>19.2</v>
      </c>
      <c r="CB145">
        <v>20.399999999999999</v>
      </c>
      <c r="CC145">
        <v>18.5</v>
      </c>
      <c r="CD145">
        <v>78.900000000000006</v>
      </c>
      <c r="CE145">
        <v>73.599999999999994</v>
      </c>
      <c r="CF145">
        <v>7.7</v>
      </c>
      <c r="CG145">
        <v>7.6</v>
      </c>
      <c r="CH145">
        <v>73.5</v>
      </c>
      <c r="CI145">
        <v>72.099999999999994</v>
      </c>
      <c r="CJ145">
        <v>84.6</v>
      </c>
      <c r="CK145" s="224">
        <v>3300</v>
      </c>
      <c r="CL145" s="224">
        <v>4315</v>
      </c>
    </row>
    <row r="146" spans="1:90" ht="14.5">
      <c r="A146" t="s">
        <v>506</v>
      </c>
      <c r="B146" t="s">
        <v>507</v>
      </c>
      <c r="C146" t="s">
        <v>508</v>
      </c>
      <c r="D146" s="224">
        <v>448338</v>
      </c>
      <c r="E146" s="224">
        <v>513712</v>
      </c>
      <c r="F146" s="224">
        <v>335779</v>
      </c>
      <c r="G146" s="224">
        <v>380594</v>
      </c>
      <c r="H146" s="224">
        <v>112559</v>
      </c>
      <c r="I146" s="224">
        <v>133118</v>
      </c>
      <c r="J146" s="224">
        <v>14716</v>
      </c>
      <c r="K146" s="224">
        <v>18851</v>
      </c>
      <c r="L146">
        <v>8.3000000000000007</v>
      </c>
      <c r="M146">
        <v>79.900000000000006</v>
      </c>
      <c r="N146">
        <v>83.6</v>
      </c>
      <c r="O146">
        <v>63.3</v>
      </c>
      <c r="P146">
        <v>62.9</v>
      </c>
      <c r="Q146" s="225">
        <v>1420</v>
      </c>
      <c r="R146" s="224">
        <v>1240</v>
      </c>
      <c r="S146" s="224">
        <v>100013</v>
      </c>
      <c r="T146">
        <v>16.8</v>
      </c>
      <c r="U146" s="224">
        <v>27565</v>
      </c>
      <c r="V146">
        <v>4.5999999999999996</v>
      </c>
      <c r="W146" s="224">
        <v>49625</v>
      </c>
      <c r="X146">
        <v>4.5999999999999996</v>
      </c>
      <c r="Y146">
        <v>1.6</v>
      </c>
      <c r="Z146">
        <v>2.5</v>
      </c>
      <c r="AA146" s="224">
        <v>6124</v>
      </c>
      <c r="AB146" s="224">
        <v>6191</v>
      </c>
      <c r="AC146" s="224">
        <v>9830</v>
      </c>
      <c r="AD146">
        <v>810</v>
      </c>
      <c r="AE146" s="224">
        <v>1415</v>
      </c>
      <c r="AF146" t="s">
        <v>597</v>
      </c>
      <c r="AG146" t="s">
        <v>597</v>
      </c>
      <c r="AH146">
        <v>325</v>
      </c>
      <c r="AI146" s="224">
        <v>3710</v>
      </c>
      <c r="AJ146" t="s">
        <v>597</v>
      </c>
      <c r="AK146" t="s">
        <v>597</v>
      </c>
      <c r="AL146" s="224">
        <v>2700</v>
      </c>
      <c r="AM146" s="224">
        <v>7130</v>
      </c>
      <c r="AN146">
        <v>72.099999999999994</v>
      </c>
      <c r="AO146" s="224">
        <v>323648</v>
      </c>
      <c r="AP146" s="224">
        <v>352549</v>
      </c>
      <c r="AQ146" s="224">
        <v>263840</v>
      </c>
      <c r="AR146" s="224">
        <v>515657</v>
      </c>
      <c r="AS146" s="224">
        <v>119640</v>
      </c>
      <c r="AT146" s="224">
        <v>158364</v>
      </c>
      <c r="AU146" s="224">
        <v>248732</v>
      </c>
      <c r="AV146">
        <v>394</v>
      </c>
      <c r="AW146" s="224">
        <v>68761</v>
      </c>
      <c r="AX146" s="224">
        <v>1581</v>
      </c>
      <c r="AY146" s="224">
        <v>88526</v>
      </c>
      <c r="AZ146" s="224">
        <v>1579</v>
      </c>
      <c r="BA146" s="224">
        <v>221936</v>
      </c>
      <c r="BB146" s="224">
        <v>250311</v>
      </c>
      <c r="BC146" s="225">
        <v>37419.629999999997</v>
      </c>
      <c r="BD146" s="225">
        <v>20936.61</v>
      </c>
      <c r="BE146">
        <v>315.39</v>
      </c>
      <c r="BF146" s="225">
        <v>1201.53</v>
      </c>
      <c r="BG146" s="224">
        <v>88791</v>
      </c>
      <c r="BH146">
        <v>0</v>
      </c>
      <c r="BI146" s="224">
        <v>17721</v>
      </c>
      <c r="BJ146" s="224">
        <v>17721</v>
      </c>
      <c r="BK146" s="224">
        <v>1439</v>
      </c>
      <c r="BL146" s="224">
        <v>14500</v>
      </c>
      <c r="BM146" s="224">
        <v>15500</v>
      </c>
      <c r="BN146">
        <v>600</v>
      </c>
      <c r="BO146" s="224">
        <v>14500</v>
      </c>
      <c r="BP146">
        <v>800</v>
      </c>
      <c r="BQ146">
        <v>80</v>
      </c>
      <c r="BR146">
        <v>5</v>
      </c>
      <c r="BS146">
        <v>21</v>
      </c>
      <c r="BT146">
        <v>48</v>
      </c>
      <c r="BU146">
        <v>43</v>
      </c>
      <c r="BV146">
        <v>70</v>
      </c>
      <c r="BW146" s="224">
        <v>11000</v>
      </c>
      <c r="BX146" s="224">
        <v>1300</v>
      </c>
      <c r="BY146">
        <v>650</v>
      </c>
      <c r="BZ146" s="224">
        <v>2300</v>
      </c>
      <c r="CA146">
        <v>19.399999999999999</v>
      </c>
      <c r="CB146">
        <v>20.5</v>
      </c>
      <c r="CC146">
        <v>18.8</v>
      </c>
      <c r="CD146">
        <v>80.099999999999994</v>
      </c>
      <c r="CE146">
        <v>75.7</v>
      </c>
      <c r="CF146">
        <v>7</v>
      </c>
      <c r="CG146">
        <v>7.1</v>
      </c>
      <c r="CH146">
        <v>71</v>
      </c>
      <c r="CI146">
        <v>70.2</v>
      </c>
      <c r="CJ146">
        <v>81.900000000000006</v>
      </c>
      <c r="CK146" s="224">
        <v>4315</v>
      </c>
      <c r="CL146" s="224">
        <v>3795</v>
      </c>
    </row>
    <row r="147" spans="1:90" ht="14.5">
      <c r="A147" t="s">
        <v>509</v>
      </c>
      <c r="B147" t="s">
        <v>510</v>
      </c>
      <c r="C147" t="s">
        <v>511</v>
      </c>
      <c r="D147" s="224">
        <v>123179</v>
      </c>
      <c r="E147" s="224">
        <v>130754</v>
      </c>
      <c r="F147" s="224">
        <v>95473</v>
      </c>
      <c r="G147" s="224">
        <v>96388</v>
      </c>
      <c r="H147" s="224">
        <v>27706</v>
      </c>
      <c r="I147" s="224">
        <v>34366</v>
      </c>
      <c r="J147" s="224">
        <v>3384</v>
      </c>
      <c r="K147" s="224">
        <v>4400</v>
      </c>
      <c r="L147">
        <v>7.4</v>
      </c>
      <c r="M147">
        <v>81.7</v>
      </c>
      <c r="N147">
        <v>84.7</v>
      </c>
      <c r="O147">
        <v>65.5</v>
      </c>
      <c r="P147">
        <v>66.5</v>
      </c>
      <c r="Q147">
        <v>515</v>
      </c>
      <c r="R147">
        <v>450</v>
      </c>
      <c r="S147" s="224">
        <v>23671</v>
      </c>
      <c r="T147">
        <v>14.7</v>
      </c>
      <c r="U147" s="224">
        <v>5405</v>
      </c>
      <c r="V147">
        <v>3.3</v>
      </c>
      <c r="W147" s="224">
        <v>12026</v>
      </c>
      <c r="X147">
        <v>4.5</v>
      </c>
      <c r="Y147">
        <v>1.3</v>
      </c>
      <c r="Z147">
        <v>2.1</v>
      </c>
      <c r="AA147" s="224">
        <v>1124</v>
      </c>
      <c r="AB147" s="224">
        <v>1249</v>
      </c>
      <c r="AC147" s="224">
        <v>2460</v>
      </c>
      <c r="AD147">
        <v>145</v>
      </c>
      <c r="AE147">
        <v>625</v>
      </c>
      <c r="AF147">
        <v>10</v>
      </c>
      <c r="AG147" t="s">
        <v>597</v>
      </c>
      <c r="AH147">
        <v>50</v>
      </c>
      <c r="AI147">
        <v>910</v>
      </c>
      <c r="AJ147" t="s">
        <v>597</v>
      </c>
      <c r="AK147" t="s">
        <v>597</v>
      </c>
      <c r="AL147">
        <v>890</v>
      </c>
      <c r="AM147" s="224">
        <v>1570</v>
      </c>
      <c r="AN147">
        <v>67.099999999999994</v>
      </c>
      <c r="AO147" s="224">
        <v>89174</v>
      </c>
      <c r="AP147" s="224">
        <v>99809</v>
      </c>
      <c r="AQ147" s="224">
        <v>78744</v>
      </c>
      <c r="AR147" s="224">
        <v>150070</v>
      </c>
      <c r="AS147" s="224">
        <v>39260</v>
      </c>
      <c r="AT147" s="224">
        <v>43909</v>
      </c>
      <c r="AU147" s="224">
        <v>74628</v>
      </c>
      <c r="AV147" s="224">
        <v>1900</v>
      </c>
      <c r="AW147" s="224">
        <v>27118</v>
      </c>
      <c r="AX147" s="224">
        <v>2095</v>
      </c>
      <c r="AY147" s="224">
        <v>19569</v>
      </c>
      <c r="AZ147" s="224">
        <v>2816</v>
      </c>
      <c r="BA147" s="224">
        <v>74703</v>
      </c>
      <c r="BB147" s="224">
        <v>77444</v>
      </c>
      <c r="BC147" s="225">
        <v>41152.81</v>
      </c>
      <c r="BD147" s="225">
        <v>25998.73</v>
      </c>
      <c r="BE147">
        <v>427.02</v>
      </c>
      <c r="BF147" s="225">
        <v>1338.65</v>
      </c>
      <c r="BG147" s="224">
        <v>17884</v>
      </c>
      <c r="BH147">
        <v>0</v>
      </c>
      <c r="BI147" s="224">
        <v>7688</v>
      </c>
      <c r="BJ147" s="224">
        <v>8592</v>
      </c>
      <c r="BK147">
        <v>40</v>
      </c>
      <c r="BL147" s="224">
        <v>2900</v>
      </c>
      <c r="BM147" s="224">
        <v>3300</v>
      </c>
      <c r="BN147" t="s">
        <v>597</v>
      </c>
      <c r="BO147" s="224">
        <v>2900</v>
      </c>
      <c r="BP147">
        <v>450</v>
      </c>
      <c r="BQ147">
        <v>78</v>
      </c>
      <c r="BR147">
        <v>6</v>
      </c>
      <c r="BS147">
        <v>24</v>
      </c>
      <c r="BT147">
        <v>37</v>
      </c>
      <c r="BU147">
        <v>44</v>
      </c>
      <c r="BV147">
        <v>57</v>
      </c>
      <c r="BW147" s="224">
        <v>2500</v>
      </c>
      <c r="BX147">
        <v>325</v>
      </c>
      <c r="BY147">
        <v>125</v>
      </c>
      <c r="BZ147">
        <v>400</v>
      </c>
      <c r="CA147">
        <v>19.2</v>
      </c>
      <c r="CB147">
        <v>20.100000000000001</v>
      </c>
      <c r="CC147">
        <v>18.600000000000001</v>
      </c>
      <c r="CD147">
        <v>74.599999999999994</v>
      </c>
      <c r="CE147">
        <v>67</v>
      </c>
      <c r="CF147">
        <v>7.6</v>
      </c>
      <c r="CG147">
        <v>7.8</v>
      </c>
      <c r="CH147">
        <v>70.5</v>
      </c>
      <c r="CI147">
        <v>67.2</v>
      </c>
      <c r="CJ147">
        <v>90</v>
      </c>
      <c r="CK147" s="224">
        <v>1275</v>
      </c>
      <c r="CL147" s="224">
        <v>1165</v>
      </c>
    </row>
    <row r="148" spans="1:90" ht="14.5">
      <c r="A148" t="s">
        <v>512</v>
      </c>
      <c r="B148" t="s">
        <v>513</v>
      </c>
      <c r="C148" t="s">
        <v>514</v>
      </c>
      <c r="D148" s="224">
        <v>310666</v>
      </c>
      <c r="E148" s="224">
        <v>349286</v>
      </c>
      <c r="F148" s="224">
        <v>244852</v>
      </c>
      <c r="G148" s="224">
        <v>270478</v>
      </c>
      <c r="H148" s="224">
        <v>65814</v>
      </c>
      <c r="I148" s="224">
        <v>78808</v>
      </c>
      <c r="J148" s="224">
        <v>8124</v>
      </c>
      <c r="K148" s="224">
        <v>9968</v>
      </c>
      <c r="L148">
        <v>7.4</v>
      </c>
      <c r="M148">
        <v>79.599999999999994</v>
      </c>
      <c r="N148">
        <v>83.6</v>
      </c>
      <c r="O148">
        <v>61.6</v>
      </c>
      <c r="P148">
        <v>61.9</v>
      </c>
      <c r="Q148" s="225">
        <v>1045</v>
      </c>
      <c r="R148">
        <v>925</v>
      </c>
      <c r="S148" s="224">
        <v>64876</v>
      </c>
      <c r="T148">
        <v>15.2</v>
      </c>
      <c r="U148" s="224">
        <v>17560</v>
      </c>
      <c r="V148">
        <v>4.0999999999999996</v>
      </c>
      <c r="W148" s="224">
        <v>31766</v>
      </c>
      <c r="X148">
        <v>4.0999999999999996</v>
      </c>
      <c r="Y148">
        <v>1.5</v>
      </c>
      <c r="Z148">
        <v>2.2999999999999998</v>
      </c>
      <c r="AA148" s="224">
        <v>3173</v>
      </c>
      <c r="AB148" s="224">
        <v>3432</v>
      </c>
      <c r="AC148" s="224">
        <v>4925</v>
      </c>
      <c r="AD148">
        <v>720</v>
      </c>
      <c r="AE148">
        <v>920</v>
      </c>
      <c r="AF148">
        <v>160</v>
      </c>
      <c r="AG148" t="s">
        <v>597</v>
      </c>
      <c r="AH148">
        <v>285</v>
      </c>
      <c r="AI148">
        <v>880</v>
      </c>
      <c r="AJ148">
        <v>395</v>
      </c>
      <c r="AK148" t="s">
        <v>597</v>
      </c>
      <c r="AL148" s="224">
        <v>2030</v>
      </c>
      <c r="AM148" s="224">
        <v>2895</v>
      </c>
      <c r="AN148">
        <v>56.2</v>
      </c>
      <c r="AO148" s="224">
        <v>182210</v>
      </c>
      <c r="AP148" s="224">
        <v>193255</v>
      </c>
      <c r="AQ148" s="224">
        <v>180143</v>
      </c>
      <c r="AR148" s="224">
        <v>404399</v>
      </c>
      <c r="AS148" s="224">
        <v>81733</v>
      </c>
      <c r="AT148" s="224">
        <v>82027</v>
      </c>
      <c r="AU148" s="224">
        <v>156211</v>
      </c>
      <c r="AV148" s="224">
        <v>1486</v>
      </c>
      <c r="AW148" s="224">
        <v>54884</v>
      </c>
      <c r="AX148" s="224">
        <v>7887</v>
      </c>
      <c r="AY148" s="224">
        <v>45394</v>
      </c>
      <c r="AZ148" s="224">
        <v>8066</v>
      </c>
      <c r="BA148" s="224">
        <v>154256</v>
      </c>
      <c r="BB148" s="224">
        <v>164277</v>
      </c>
      <c r="BC148" s="225">
        <v>39935.47</v>
      </c>
      <c r="BD148" s="225">
        <v>28741.97</v>
      </c>
      <c r="BE148">
        <v>307.67</v>
      </c>
      <c r="BF148" s="225">
        <v>1140.92</v>
      </c>
      <c r="BG148" s="224">
        <v>27795</v>
      </c>
      <c r="BH148">
        <v>0</v>
      </c>
      <c r="BI148" s="224">
        <v>10797</v>
      </c>
      <c r="BJ148" s="224">
        <v>17988</v>
      </c>
      <c r="BK148" s="224">
        <v>6359</v>
      </c>
      <c r="BL148" s="224">
        <v>9800</v>
      </c>
      <c r="BM148" s="224">
        <v>11000</v>
      </c>
      <c r="BN148">
        <v>550</v>
      </c>
      <c r="BO148" s="224">
        <v>10000</v>
      </c>
      <c r="BP148">
        <v>750</v>
      </c>
      <c r="BQ148">
        <v>72</v>
      </c>
      <c r="BR148">
        <v>7</v>
      </c>
      <c r="BS148">
        <v>49</v>
      </c>
      <c r="BT148">
        <v>31</v>
      </c>
      <c r="BU148">
        <v>41</v>
      </c>
      <c r="BV148">
        <v>42</v>
      </c>
      <c r="BW148" s="224">
        <v>8300</v>
      </c>
      <c r="BX148">
        <v>950</v>
      </c>
      <c r="BY148">
        <v>375</v>
      </c>
      <c r="BZ148" s="224">
        <v>1300</v>
      </c>
      <c r="CA148">
        <v>19.399999999999999</v>
      </c>
      <c r="CB148">
        <v>19.600000000000001</v>
      </c>
      <c r="CC148">
        <v>19.2</v>
      </c>
      <c r="CD148">
        <v>78.8</v>
      </c>
      <c r="CE148">
        <v>73.2</v>
      </c>
      <c r="CF148">
        <v>7.3</v>
      </c>
      <c r="CG148">
        <v>7.5</v>
      </c>
      <c r="CH148">
        <v>71.400000000000006</v>
      </c>
      <c r="CI148">
        <v>78.7</v>
      </c>
      <c r="CJ148">
        <v>71.400000000000006</v>
      </c>
      <c r="CK148" s="224">
        <v>1720</v>
      </c>
      <c r="CL148" s="224">
        <v>1535</v>
      </c>
    </row>
    <row r="149" spans="1:90" ht="14.5">
      <c r="A149" t="s">
        <v>515</v>
      </c>
      <c r="B149" t="s">
        <v>516</v>
      </c>
      <c r="C149" t="s">
        <v>517</v>
      </c>
      <c r="D149" s="224">
        <v>672798</v>
      </c>
      <c r="E149" s="224">
        <v>741454</v>
      </c>
      <c r="F149" s="224">
        <v>485893</v>
      </c>
      <c r="G149" s="224">
        <v>523470</v>
      </c>
      <c r="H149" s="224">
        <v>186905</v>
      </c>
      <c r="I149" s="224">
        <v>217984</v>
      </c>
      <c r="J149" s="224">
        <v>29101</v>
      </c>
      <c r="K149" s="224">
        <v>32785</v>
      </c>
      <c r="L149">
        <v>8.1999999999999993</v>
      </c>
      <c r="M149">
        <v>80.599999999999994</v>
      </c>
      <c r="N149">
        <v>84.5</v>
      </c>
      <c r="O149">
        <v>63.1</v>
      </c>
      <c r="P149">
        <v>64.5</v>
      </c>
      <c r="Q149" s="225">
        <v>2255</v>
      </c>
      <c r="R149" s="224">
        <v>1995</v>
      </c>
      <c r="S149" s="224">
        <v>148900</v>
      </c>
      <c r="T149">
        <v>16.899999999999999</v>
      </c>
      <c r="U149" s="224">
        <v>39372</v>
      </c>
      <c r="V149">
        <v>4.5</v>
      </c>
      <c r="W149" s="224">
        <v>72816</v>
      </c>
      <c r="X149">
        <v>4.7</v>
      </c>
      <c r="Y149">
        <v>1.5</v>
      </c>
      <c r="Z149">
        <v>2.4</v>
      </c>
      <c r="AA149" s="224">
        <v>10608</v>
      </c>
      <c r="AB149" s="224">
        <v>11030</v>
      </c>
      <c r="AC149" s="224">
        <v>11705</v>
      </c>
      <c r="AD149" s="224">
        <v>1095</v>
      </c>
      <c r="AE149" s="224">
        <v>2290</v>
      </c>
      <c r="AF149" t="s">
        <v>597</v>
      </c>
      <c r="AG149" t="s">
        <v>597</v>
      </c>
      <c r="AH149">
        <v>415</v>
      </c>
      <c r="AI149" s="224">
        <v>3150</v>
      </c>
      <c r="AJ149" t="s">
        <v>597</v>
      </c>
      <c r="AK149" t="s">
        <v>597</v>
      </c>
      <c r="AL149" s="224">
        <v>4250</v>
      </c>
      <c r="AM149" s="224">
        <v>7455</v>
      </c>
      <c r="AN149">
        <v>60.9</v>
      </c>
      <c r="AO149" s="224">
        <v>402512</v>
      </c>
      <c r="AP149" s="224">
        <v>426135</v>
      </c>
      <c r="AQ149" s="224">
        <v>386546</v>
      </c>
      <c r="AR149" s="224">
        <v>791066</v>
      </c>
      <c r="AS149" s="224">
        <v>152052</v>
      </c>
      <c r="AT149" s="224">
        <v>208980</v>
      </c>
      <c r="AU149" s="224">
        <v>337989</v>
      </c>
      <c r="AV149" s="224">
        <v>2988</v>
      </c>
      <c r="AW149" s="224">
        <v>109254</v>
      </c>
      <c r="AX149" s="224">
        <v>5447</v>
      </c>
      <c r="AY149" s="224">
        <v>129711</v>
      </c>
      <c r="AZ149" s="224">
        <v>11526</v>
      </c>
      <c r="BA149" s="224">
        <v>312929</v>
      </c>
      <c r="BB149" s="224">
        <v>349515</v>
      </c>
      <c r="BC149" s="225">
        <v>36520.71</v>
      </c>
      <c r="BD149" s="225">
        <v>26063.31</v>
      </c>
      <c r="BE149">
        <v>296.18</v>
      </c>
      <c r="BF149">
        <v>983.68</v>
      </c>
      <c r="BG149" s="224">
        <v>79272</v>
      </c>
      <c r="BH149">
        <v>0</v>
      </c>
      <c r="BI149" s="224">
        <v>32717</v>
      </c>
      <c r="BJ149" s="224">
        <v>111294</v>
      </c>
      <c r="BK149">
        <v>44</v>
      </c>
      <c r="BL149" s="224">
        <v>20500</v>
      </c>
      <c r="BM149" s="224">
        <v>23000</v>
      </c>
      <c r="BN149" s="224">
        <v>1400</v>
      </c>
      <c r="BO149" s="224">
        <v>22000</v>
      </c>
      <c r="BP149" s="224">
        <v>1200</v>
      </c>
      <c r="BQ149">
        <v>76</v>
      </c>
      <c r="BR149">
        <v>10</v>
      </c>
      <c r="BS149">
        <v>24</v>
      </c>
      <c r="BT149">
        <v>38</v>
      </c>
      <c r="BU149">
        <v>44</v>
      </c>
      <c r="BV149">
        <v>71</v>
      </c>
      <c r="BW149" s="224">
        <v>16000</v>
      </c>
      <c r="BX149" s="224">
        <v>1800</v>
      </c>
      <c r="BY149" s="224">
        <v>1300</v>
      </c>
      <c r="BZ149" s="224">
        <v>3800</v>
      </c>
      <c r="CA149">
        <v>19</v>
      </c>
      <c r="CB149">
        <v>19.899999999999999</v>
      </c>
      <c r="CC149">
        <v>18.399999999999999</v>
      </c>
      <c r="CD149">
        <v>78.7</v>
      </c>
      <c r="CE149">
        <v>73</v>
      </c>
      <c r="CF149">
        <v>7.3</v>
      </c>
      <c r="CG149">
        <v>7.5</v>
      </c>
      <c r="CH149">
        <v>69.8</v>
      </c>
      <c r="CI149">
        <v>70.3</v>
      </c>
      <c r="CJ149">
        <v>84.2</v>
      </c>
      <c r="CK149" s="224">
        <v>7495</v>
      </c>
      <c r="CL149" s="224">
        <v>10345</v>
      </c>
    </row>
    <row r="150" spans="1:90" ht="14.5">
      <c r="A150" t="s">
        <v>518</v>
      </c>
      <c r="B150" t="s">
        <v>519</v>
      </c>
      <c r="C150" t="s">
        <v>520</v>
      </c>
      <c r="D150" s="224">
        <v>180936</v>
      </c>
      <c r="E150" s="224">
        <v>185163</v>
      </c>
      <c r="F150" s="224">
        <v>155825</v>
      </c>
      <c r="G150" s="224">
        <v>157520</v>
      </c>
      <c r="H150" s="224">
        <v>25111</v>
      </c>
      <c r="I150" s="224">
        <v>27643</v>
      </c>
      <c r="J150" s="224">
        <v>3287</v>
      </c>
      <c r="K150" s="224">
        <v>3516</v>
      </c>
      <c r="L150">
        <v>6.6</v>
      </c>
      <c r="M150">
        <v>81.900000000000006</v>
      </c>
      <c r="N150">
        <v>86.4</v>
      </c>
      <c r="O150">
        <v>60.5</v>
      </c>
      <c r="P150">
        <v>59.8</v>
      </c>
      <c r="Q150">
        <v>445</v>
      </c>
      <c r="R150">
        <v>380</v>
      </c>
      <c r="S150" s="224">
        <v>28122</v>
      </c>
      <c r="T150">
        <v>13.8</v>
      </c>
      <c r="U150" s="224">
        <v>10386</v>
      </c>
      <c r="V150">
        <v>5.0999999999999996</v>
      </c>
      <c r="W150" s="224">
        <v>13516</v>
      </c>
      <c r="X150">
        <v>3.4</v>
      </c>
      <c r="Y150">
        <v>1.7</v>
      </c>
      <c r="Z150">
        <v>1.8</v>
      </c>
      <c r="AA150">
        <v>503</v>
      </c>
      <c r="AB150">
        <v>488</v>
      </c>
      <c r="AC150" s="224">
        <v>3710</v>
      </c>
      <c r="AD150">
        <v>400</v>
      </c>
      <c r="AE150">
        <v>855</v>
      </c>
      <c r="AF150" t="s">
        <v>597</v>
      </c>
      <c r="AG150" t="s">
        <v>597</v>
      </c>
      <c r="AH150">
        <v>310</v>
      </c>
      <c r="AI150" s="224">
        <v>1475</v>
      </c>
      <c r="AJ150" t="s">
        <v>597</v>
      </c>
      <c r="AK150" t="s">
        <v>597</v>
      </c>
      <c r="AL150" s="224">
        <v>1430</v>
      </c>
      <c r="AM150" s="224">
        <v>2280</v>
      </c>
      <c r="AN150">
        <v>60.4</v>
      </c>
      <c r="AO150" s="224">
        <v>108782</v>
      </c>
      <c r="AP150" s="224">
        <v>122271</v>
      </c>
      <c r="AQ150" s="224">
        <v>113106</v>
      </c>
      <c r="AR150" s="224">
        <v>266103</v>
      </c>
      <c r="AS150" s="224">
        <v>29005</v>
      </c>
      <c r="AT150" s="224">
        <v>57724</v>
      </c>
      <c r="AU150" s="224">
        <v>81651</v>
      </c>
      <c r="AV150">
        <v>810</v>
      </c>
      <c r="AW150" s="224">
        <v>15073</v>
      </c>
      <c r="AX150" s="224">
        <v>1404</v>
      </c>
      <c r="AY150" s="224">
        <v>39147</v>
      </c>
      <c r="AZ150" s="224">
        <v>1954</v>
      </c>
      <c r="BA150" s="224">
        <v>78923</v>
      </c>
      <c r="BB150" s="224">
        <v>83605</v>
      </c>
      <c r="BC150" s="225">
        <v>20281.82</v>
      </c>
      <c r="BD150" s="225">
        <v>23948.25</v>
      </c>
      <c r="BE150">
        <v>189.28</v>
      </c>
      <c r="BF150" s="225">
        <v>2138.9899999999998</v>
      </c>
      <c r="BG150" s="224">
        <v>8894</v>
      </c>
      <c r="BH150">
        <v>0</v>
      </c>
      <c r="BI150" s="224">
        <v>17376</v>
      </c>
      <c r="BJ150" s="224">
        <v>18456</v>
      </c>
      <c r="BK150" s="224">
        <v>1666</v>
      </c>
      <c r="BL150" s="224">
        <v>5300</v>
      </c>
      <c r="BM150" s="224">
        <v>6400</v>
      </c>
      <c r="BN150">
        <v>750</v>
      </c>
      <c r="BO150" s="224">
        <v>6000</v>
      </c>
      <c r="BP150">
        <v>400</v>
      </c>
      <c r="BQ150">
        <v>74</v>
      </c>
      <c r="BR150">
        <v>9</v>
      </c>
      <c r="BS150">
        <v>22</v>
      </c>
      <c r="BT150">
        <v>26</v>
      </c>
      <c r="BU150">
        <v>46</v>
      </c>
      <c r="BV150">
        <v>34</v>
      </c>
      <c r="BW150" s="224">
        <v>4400</v>
      </c>
      <c r="BX150">
        <v>750</v>
      </c>
      <c r="BY150">
        <v>275</v>
      </c>
      <c r="BZ150">
        <v>950</v>
      </c>
      <c r="CA150">
        <v>18.5</v>
      </c>
      <c r="CB150">
        <v>18.899999999999999</v>
      </c>
      <c r="CC150">
        <v>18.100000000000001</v>
      </c>
      <c r="CD150">
        <v>75</v>
      </c>
      <c r="CE150">
        <v>74.8</v>
      </c>
      <c r="CF150">
        <v>7.1</v>
      </c>
      <c r="CG150">
        <v>6.9</v>
      </c>
      <c r="CH150">
        <v>63.6</v>
      </c>
      <c r="CI150">
        <v>61.6</v>
      </c>
      <c r="CJ150">
        <v>100</v>
      </c>
      <c r="CK150" s="224">
        <v>1135</v>
      </c>
      <c r="CL150" s="224">
        <v>1095</v>
      </c>
    </row>
    <row r="151" spans="1:90" ht="14.5">
      <c r="A151" t="s">
        <v>521</v>
      </c>
      <c r="B151" t="s">
        <v>522</v>
      </c>
      <c r="C151" t="s">
        <v>523</v>
      </c>
      <c r="D151" s="224">
        <v>184288</v>
      </c>
      <c r="E151" s="224">
        <v>192637</v>
      </c>
      <c r="F151" s="224">
        <v>129086</v>
      </c>
      <c r="G151" s="224">
        <v>129962</v>
      </c>
      <c r="H151" s="224">
        <v>55202</v>
      </c>
      <c r="I151" s="224">
        <v>62675</v>
      </c>
      <c r="J151" s="224">
        <v>7235</v>
      </c>
      <c r="K151" s="224">
        <v>8485</v>
      </c>
      <c r="L151">
        <v>8.9</v>
      </c>
      <c r="M151">
        <v>79.900000000000006</v>
      </c>
      <c r="N151">
        <v>83.8</v>
      </c>
      <c r="O151">
        <v>62.8</v>
      </c>
      <c r="P151">
        <v>64.400000000000006</v>
      </c>
      <c r="Q151">
        <v>555</v>
      </c>
      <c r="R151">
        <v>500</v>
      </c>
      <c r="S151" s="224">
        <v>42287</v>
      </c>
      <c r="T151">
        <v>18.7</v>
      </c>
      <c r="U151" s="224">
        <v>11865</v>
      </c>
      <c r="V151">
        <v>5.2</v>
      </c>
      <c r="W151" s="224">
        <v>20101</v>
      </c>
      <c r="X151">
        <v>4.9000000000000004</v>
      </c>
      <c r="Y151">
        <v>1.7</v>
      </c>
      <c r="Z151">
        <v>2.6</v>
      </c>
      <c r="AA151" s="224">
        <v>1931</v>
      </c>
      <c r="AB151" s="224">
        <v>1931</v>
      </c>
      <c r="AC151" s="224">
        <v>4025</v>
      </c>
      <c r="AD151">
        <v>390</v>
      </c>
      <c r="AE151" t="s">
        <v>597</v>
      </c>
      <c r="AF151" t="s">
        <v>597</v>
      </c>
      <c r="AG151">
        <v>805</v>
      </c>
      <c r="AH151">
        <v>170</v>
      </c>
      <c r="AI151" t="s">
        <v>597</v>
      </c>
      <c r="AJ151" t="s">
        <v>597</v>
      </c>
      <c r="AK151" s="224">
        <v>1300</v>
      </c>
      <c r="AL151" s="224">
        <v>1335</v>
      </c>
      <c r="AM151" s="224">
        <v>2690</v>
      </c>
      <c r="AN151">
        <v>67.7</v>
      </c>
      <c r="AO151" s="224">
        <v>144804</v>
      </c>
      <c r="AP151" s="224">
        <v>150393</v>
      </c>
      <c r="AQ151" s="224">
        <v>120290</v>
      </c>
      <c r="AR151" s="224">
        <v>268508</v>
      </c>
      <c r="AS151" s="224">
        <v>48464</v>
      </c>
      <c r="AT151" s="224">
        <v>91932</v>
      </c>
      <c r="AU151" s="224">
        <v>112159</v>
      </c>
      <c r="AV151" s="224">
        <v>1031</v>
      </c>
      <c r="AW151" s="224">
        <v>29414</v>
      </c>
      <c r="AX151" s="224">
        <v>13786</v>
      </c>
      <c r="AY151" s="224">
        <v>57871</v>
      </c>
      <c r="AZ151" s="224">
        <v>4319</v>
      </c>
      <c r="BA151" t="s">
        <v>598</v>
      </c>
      <c r="BB151" s="224">
        <v>116478</v>
      </c>
      <c r="BC151" s="225">
        <v>32344.57</v>
      </c>
      <c r="BD151" s="225">
        <v>27248.33</v>
      </c>
      <c r="BE151">
        <v>380.84</v>
      </c>
      <c r="BF151" s="225">
        <v>1686.77</v>
      </c>
      <c r="BG151" s="224">
        <v>30102</v>
      </c>
      <c r="BH151">
        <v>0</v>
      </c>
      <c r="BI151" s="224">
        <v>14429</v>
      </c>
      <c r="BJ151" s="224">
        <v>18942</v>
      </c>
      <c r="BK151">
        <v>659</v>
      </c>
      <c r="BL151" s="224">
        <v>5800</v>
      </c>
      <c r="BM151" s="224">
        <v>6200</v>
      </c>
      <c r="BN151">
        <v>450</v>
      </c>
      <c r="BO151" s="224">
        <v>5100</v>
      </c>
      <c r="BP151" s="224">
        <v>1200</v>
      </c>
      <c r="BQ151">
        <v>83</v>
      </c>
      <c r="BR151">
        <v>4</v>
      </c>
      <c r="BS151">
        <v>12</v>
      </c>
      <c r="BT151">
        <v>48</v>
      </c>
      <c r="BU151">
        <v>44</v>
      </c>
      <c r="BV151">
        <v>85</v>
      </c>
      <c r="BW151" s="224">
        <v>4500</v>
      </c>
      <c r="BX151">
        <v>500</v>
      </c>
      <c r="BY151">
        <v>350</v>
      </c>
      <c r="BZ151">
        <v>800</v>
      </c>
      <c r="CA151">
        <v>19.600000000000001</v>
      </c>
      <c r="CB151">
        <v>19.600000000000001</v>
      </c>
      <c r="CC151">
        <v>19.7</v>
      </c>
      <c r="CD151">
        <v>86.5</v>
      </c>
      <c r="CE151">
        <v>85</v>
      </c>
      <c r="CF151">
        <v>7.8</v>
      </c>
      <c r="CG151">
        <v>8.1999999999999993</v>
      </c>
      <c r="CH151">
        <v>76</v>
      </c>
      <c r="CI151">
        <v>81.3</v>
      </c>
      <c r="CJ151">
        <v>89.1</v>
      </c>
      <c r="CK151" t="s">
        <v>598</v>
      </c>
      <c r="CL151" s="224">
        <v>4845</v>
      </c>
    </row>
    <row r="152" spans="1:90" ht="14.5">
      <c r="A152" t="s">
        <v>524</v>
      </c>
      <c r="B152" t="s">
        <v>525</v>
      </c>
      <c r="C152" t="s">
        <v>526</v>
      </c>
      <c r="D152" s="224">
        <v>253823</v>
      </c>
      <c r="E152" s="224">
        <v>275737</v>
      </c>
      <c r="F152" s="224">
        <v>194384</v>
      </c>
      <c r="G152" s="224">
        <v>208036</v>
      </c>
      <c r="H152" s="224">
        <v>59439</v>
      </c>
      <c r="I152" s="224">
        <v>67701</v>
      </c>
      <c r="J152" s="224">
        <v>5825</v>
      </c>
      <c r="K152" s="224">
        <v>7540</v>
      </c>
      <c r="L152">
        <v>9.5</v>
      </c>
      <c r="M152">
        <v>77.400000000000006</v>
      </c>
      <c r="N152">
        <v>81.3</v>
      </c>
      <c r="O152">
        <v>54.6</v>
      </c>
      <c r="P152">
        <v>55.1</v>
      </c>
      <c r="Q152" s="225">
        <v>1030</v>
      </c>
      <c r="R152">
        <v>925</v>
      </c>
      <c r="S152" s="224">
        <v>65868</v>
      </c>
      <c r="T152">
        <v>20</v>
      </c>
      <c r="U152" s="224">
        <v>20551</v>
      </c>
      <c r="V152">
        <v>6.2</v>
      </c>
      <c r="W152" s="224">
        <v>31475</v>
      </c>
      <c r="X152">
        <v>4.5</v>
      </c>
      <c r="Y152">
        <v>2.2999999999999998</v>
      </c>
      <c r="Z152">
        <v>3.4</v>
      </c>
      <c r="AA152" s="224">
        <v>2349</v>
      </c>
      <c r="AB152" s="224">
        <v>2364</v>
      </c>
      <c r="AC152" s="224">
        <v>5565</v>
      </c>
      <c r="AD152">
        <v>615</v>
      </c>
      <c r="AE152" s="224">
        <v>1295</v>
      </c>
      <c r="AF152">
        <v>10</v>
      </c>
      <c r="AG152" t="s">
        <v>597</v>
      </c>
      <c r="AH152">
        <v>180</v>
      </c>
      <c r="AI152" s="224">
        <v>1955</v>
      </c>
      <c r="AJ152" t="s">
        <v>597</v>
      </c>
      <c r="AK152" t="s">
        <v>597</v>
      </c>
      <c r="AL152" s="224">
        <v>2050</v>
      </c>
      <c r="AM152" s="224">
        <v>3515</v>
      </c>
      <c r="AN152">
        <v>65.400000000000006</v>
      </c>
      <c r="AO152" s="224">
        <v>162822</v>
      </c>
      <c r="AP152" s="224">
        <v>177170</v>
      </c>
      <c r="AQ152" s="224">
        <v>148779</v>
      </c>
      <c r="AR152" s="224">
        <v>344824</v>
      </c>
      <c r="AS152" s="224">
        <v>76660</v>
      </c>
      <c r="AT152" s="224">
        <v>68622</v>
      </c>
      <c r="AU152" s="224">
        <v>131651</v>
      </c>
      <c r="AV152" s="224">
        <v>1773</v>
      </c>
      <c r="AW152" s="224">
        <v>49116</v>
      </c>
      <c r="AX152" s="224">
        <v>6351</v>
      </c>
      <c r="AY152" s="224">
        <v>40333</v>
      </c>
      <c r="AZ152" s="224">
        <v>8055</v>
      </c>
      <c r="BA152" s="224">
        <v>127628</v>
      </c>
      <c r="BB152" s="224">
        <v>139706</v>
      </c>
      <c r="BC152" s="225">
        <v>35387.800000000003</v>
      </c>
      <c r="BD152" s="225">
        <v>19106.97</v>
      </c>
      <c r="BE152">
        <v>377.02</v>
      </c>
      <c r="BF152" s="225">
        <v>1107.4100000000001</v>
      </c>
      <c r="BG152" s="224">
        <v>31286</v>
      </c>
      <c r="BH152">
        <v>0</v>
      </c>
      <c r="BI152" s="224">
        <v>20650</v>
      </c>
      <c r="BJ152" s="224">
        <v>36878</v>
      </c>
      <c r="BK152" s="224">
        <v>3851</v>
      </c>
      <c r="BL152" s="224">
        <v>7500</v>
      </c>
      <c r="BM152" s="224">
        <v>8200</v>
      </c>
      <c r="BN152">
        <v>200</v>
      </c>
      <c r="BO152" s="224">
        <v>6700</v>
      </c>
      <c r="BP152" s="224">
        <v>1500</v>
      </c>
      <c r="BQ152">
        <v>83</v>
      </c>
      <c r="BR152">
        <v>2</v>
      </c>
      <c r="BS152">
        <v>11</v>
      </c>
      <c r="BT152">
        <v>45</v>
      </c>
      <c r="BU152">
        <v>44</v>
      </c>
      <c r="BV152">
        <v>85</v>
      </c>
      <c r="BW152" s="224">
        <v>5800</v>
      </c>
      <c r="BX152">
        <v>800</v>
      </c>
      <c r="BY152">
        <v>400</v>
      </c>
      <c r="BZ152" s="224">
        <v>1200</v>
      </c>
      <c r="CA152">
        <v>18.899999999999999</v>
      </c>
      <c r="CB152">
        <v>19.5</v>
      </c>
      <c r="CC152">
        <v>18.399999999999999</v>
      </c>
      <c r="CD152">
        <v>77.599999999999994</v>
      </c>
      <c r="CE152">
        <v>74.400000000000006</v>
      </c>
      <c r="CF152">
        <v>6.6</v>
      </c>
      <c r="CG152">
        <v>6.6</v>
      </c>
      <c r="CH152">
        <v>67</v>
      </c>
      <c r="CI152">
        <v>66.599999999999994</v>
      </c>
      <c r="CJ152">
        <v>94.2</v>
      </c>
      <c r="CK152" s="224">
        <v>1290</v>
      </c>
      <c r="CL152" s="224">
        <v>1405</v>
      </c>
    </row>
    <row r="153" spans="1:90" ht="14.5">
      <c r="A153" t="s">
        <v>527</v>
      </c>
      <c r="B153" t="s">
        <v>528</v>
      </c>
      <c r="C153" t="s">
        <v>529</v>
      </c>
      <c r="D153" s="224">
        <v>385594</v>
      </c>
      <c r="E153" s="224">
        <v>423830</v>
      </c>
      <c r="F153" s="224">
        <v>286440</v>
      </c>
      <c r="G153" s="224">
        <v>300118</v>
      </c>
      <c r="H153" s="224">
        <v>99154</v>
      </c>
      <c r="I153" s="224">
        <v>123712</v>
      </c>
      <c r="J153" s="224">
        <v>13465</v>
      </c>
      <c r="K153" s="224">
        <v>17403</v>
      </c>
      <c r="L153">
        <v>8.1999999999999993</v>
      </c>
      <c r="M153">
        <v>81.3</v>
      </c>
      <c r="N153">
        <v>84.7</v>
      </c>
      <c r="O153">
        <v>63.8</v>
      </c>
      <c r="P153">
        <v>63.7</v>
      </c>
      <c r="Q153" s="225">
        <v>1185</v>
      </c>
      <c r="R153" s="224">
        <v>1055</v>
      </c>
      <c r="S153" s="224">
        <v>86495</v>
      </c>
      <c r="T153">
        <v>16.899999999999999</v>
      </c>
      <c r="U153" s="224">
        <v>21588</v>
      </c>
      <c r="V153">
        <v>4.2</v>
      </c>
      <c r="W153" s="224">
        <v>42260</v>
      </c>
      <c r="X153">
        <v>4.7</v>
      </c>
      <c r="Y153">
        <v>1.6</v>
      </c>
      <c r="Z153">
        <v>2.4</v>
      </c>
      <c r="AA153" s="224">
        <v>4880</v>
      </c>
      <c r="AB153" s="224">
        <v>5124</v>
      </c>
      <c r="AC153" s="224">
        <v>7115</v>
      </c>
      <c r="AD153">
        <v>510</v>
      </c>
      <c r="AE153" s="224">
        <v>1030</v>
      </c>
      <c r="AF153">
        <v>290</v>
      </c>
      <c r="AG153" t="s">
        <v>597</v>
      </c>
      <c r="AH153">
        <v>275</v>
      </c>
      <c r="AI153" s="224">
        <v>1690</v>
      </c>
      <c r="AJ153">
        <v>855</v>
      </c>
      <c r="AK153" t="s">
        <v>597</v>
      </c>
      <c r="AL153" s="224">
        <v>2290</v>
      </c>
      <c r="AM153" s="224">
        <v>4825</v>
      </c>
      <c r="AN153">
        <v>68</v>
      </c>
      <c r="AO153" s="224">
        <v>239934</v>
      </c>
      <c r="AP153" s="224">
        <v>244021</v>
      </c>
      <c r="AQ153" s="224">
        <v>233798</v>
      </c>
      <c r="AR153" s="224">
        <v>444568</v>
      </c>
      <c r="AS153" s="224">
        <v>109083</v>
      </c>
      <c r="AT153" s="224">
        <v>99581</v>
      </c>
      <c r="AU153" s="224">
        <v>184699</v>
      </c>
      <c r="AV153" s="224">
        <v>14479</v>
      </c>
      <c r="AW153" s="224">
        <v>77710</v>
      </c>
      <c r="AX153" s="224">
        <v>32884</v>
      </c>
      <c r="AY153" s="224">
        <v>73594</v>
      </c>
      <c r="AZ153" s="224">
        <v>43990</v>
      </c>
      <c r="BA153" s="224">
        <v>195502</v>
      </c>
      <c r="BB153" s="224">
        <v>228689</v>
      </c>
      <c r="BC153" s="225">
        <v>51490.39</v>
      </c>
      <c r="BD153" s="225">
        <v>22958.76</v>
      </c>
      <c r="BE153">
        <v>411.71</v>
      </c>
      <c r="BF153" s="225">
        <v>1070.75</v>
      </c>
      <c r="BG153" s="224">
        <v>38337</v>
      </c>
      <c r="BH153">
        <v>0</v>
      </c>
      <c r="BI153" s="224">
        <v>27843</v>
      </c>
      <c r="BJ153" s="224">
        <v>56168</v>
      </c>
      <c r="BK153" s="224">
        <v>7092</v>
      </c>
      <c r="BL153" s="224">
        <v>12500</v>
      </c>
      <c r="BM153" s="224">
        <v>14000</v>
      </c>
      <c r="BN153" s="224">
        <v>1000</v>
      </c>
      <c r="BO153" s="224">
        <v>13000</v>
      </c>
      <c r="BP153">
        <v>850</v>
      </c>
      <c r="BQ153">
        <v>81</v>
      </c>
      <c r="BR153">
        <v>5</v>
      </c>
      <c r="BS153">
        <v>24</v>
      </c>
      <c r="BT153">
        <v>42</v>
      </c>
      <c r="BU153">
        <v>44</v>
      </c>
      <c r="BV153">
        <v>74</v>
      </c>
      <c r="BW153" s="224">
        <v>10000</v>
      </c>
      <c r="BX153" s="224">
        <v>1000</v>
      </c>
      <c r="BY153">
        <v>700</v>
      </c>
      <c r="BZ153" s="224">
        <v>2000</v>
      </c>
      <c r="CA153">
        <v>18.7</v>
      </c>
      <c r="CB153">
        <v>19.399999999999999</v>
      </c>
      <c r="CC153">
        <v>18.3</v>
      </c>
      <c r="CD153">
        <v>79</v>
      </c>
      <c r="CE153">
        <v>77.8</v>
      </c>
      <c r="CF153">
        <v>7</v>
      </c>
      <c r="CG153">
        <v>7.2</v>
      </c>
      <c r="CH153">
        <v>71.7</v>
      </c>
      <c r="CI153">
        <v>73.7</v>
      </c>
      <c r="CJ153">
        <v>81.3</v>
      </c>
      <c r="CK153" s="224">
        <v>1285</v>
      </c>
      <c r="CL153" s="224">
        <v>1205</v>
      </c>
    </row>
    <row r="154" spans="1:90" ht="14.5">
      <c r="A154" t="s">
        <v>530</v>
      </c>
      <c r="B154" t="s">
        <v>531</v>
      </c>
      <c r="C154" t="s">
        <v>532</v>
      </c>
      <c r="D154" s="224">
        <v>116395</v>
      </c>
      <c r="E154" s="224">
        <v>125657</v>
      </c>
      <c r="F154" s="224">
        <v>89761</v>
      </c>
      <c r="G154" s="224">
        <v>94803</v>
      </c>
      <c r="H154" s="224">
        <v>26634</v>
      </c>
      <c r="I154" s="224">
        <v>30854</v>
      </c>
      <c r="J154" s="224">
        <v>3922</v>
      </c>
      <c r="K154" s="224">
        <v>4835</v>
      </c>
      <c r="L154">
        <v>7</v>
      </c>
      <c r="M154">
        <v>81.8</v>
      </c>
      <c r="N154">
        <v>85.4</v>
      </c>
      <c r="O154">
        <v>67.3</v>
      </c>
      <c r="P154">
        <v>68.900000000000006</v>
      </c>
      <c r="Q154">
        <v>290</v>
      </c>
      <c r="R154">
        <v>245</v>
      </c>
      <c r="S154" s="224">
        <v>18906</v>
      </c>
      <c r="T154">
        <v>12.3</v>
      </c>
      <c r="U154" s="224">
        <v>4638</v>
      </c>
      <c r="V154">
        <v>3</v>
      </c>
      <c r="W154" s="224">
        <v>10775</v>
      </c>
      <c r="X154">
        <v>4.2</v>
      </c>
      <c r="Y154">
        <v>1.3</v>
      </c>
      <c r="Z154">
        <v>1.9</v>
      </c>
      <c r="AA154" s="224">
        <v>1841</v>
      </c>
      <c r="AB154" s="224">
        <v>1949</v>
      </c>
      <c r="AC154" s="224">
        <v>1590</v>
      </c>
      <c r="AD154">
        <v>95</v>
      </c>
      <c r="AE154" t="s">
        <v>597</v>
      </c>
      <c r="AF154" t="s">
        <v>597</v>
      </c>
      <c r="AG154">
        <v>375</v>
      </c>
      <c r="AH154">
        <v>90</v>
      </c>
      <c r="AI154" t="s">
        <v>597</v>
      </c>
      <c r="AJ154" t="s">
        <v>597</v>
      </c>
      <c r="AK154">
        <v>500</v>
      </c>
      <c r="AL154">
        <v>575</v>
      </c>
      <c r="AM154" s="224">
        <v>1015</v>
      </c>
      <c r="AN154">
        <v>63.9</v>
      </c>
      <c r="AO154" s="224">
        <v>66622</v>
      </c>
      <c r="AP154" s="224">
        <v>77554</v>
      </c>
      <c r="AQ154" s="224">
        <v>64809</v>
      </c>
      <c r="AR154" s="224">
        <v>108463</v>
      </c>
      <c r="AS154" s="224">
        <v>31357</v>
      </c>
      <c r="AT154" s="224">
        <v>35111</v>
      </c>
      <c r="AU154" s="224">
        <v>54591</v>
      </c>
      <c r="AV154">
        <v>1</v>
      </c>
      <c r="AW154" s="224">
        <v>18152</v>
      </c>
      <c r="AX154">
        <v>159</v>
      </c>
      <c r="AY154" s="224">
        <v>14408</v>
      </c>
      <c r="AZ154">
        <v>0</v>
      </c>
      <c r="BA154" s="224">
        <v>50340</v>
      </c>
      <c r="BB154" s="224">
        <v>54591</v>
      </c>
      <c r="BC154" s="225">
        <v>43800</v>
      </c>
      <c r="BD154" s="225">
        <v>28971.43</v>
      </c>
      <c r="BE154">
        <v>330.77</v>
      </c>
      <c r="BF154" s="225">
        <v>1143.1300000000001</v>
      </c>
      <c r="BG154" s="224">
        <v>12911</v>
      </c>
      <c r="BH154">
        <v>0</v>
      </c>
      <c r="BI154" s="224">
        <v>6155</v>
      </c>
      <c r="BJ154" s="224">
        <v>10963</v>
      </c>
      <c r="BK154">
        <v>509</v>
      </c>
      <c r="BL154" s="224">
        <v>3500</v>
      </c>
      <c r="BM154" s="224">
        <v>3900</v>
      </c>
      <c r="BN154">
        <v>125</v>
      </c>
      <c r="BO154" s="224">
        <v>3700</v>
      </c>
      <c r="BP154">
        <v>125</v>
      </c>
      <c r="BQ154">
        <v>74</v>
      </c>
      <c r="BR154">
        <v>14</v>
      </c>
      <c r="BS154">
        <v>35</v>
      </c>
      <c r="BT154">
        <v>29</v>
      </c>
      <c r="BU154">
        <v>43</v>
      </c>
      <c r="BV154">
        <v>47</v>
      </c>
      <c r="BW154" s="224">
        <v>2700</v>
      </c>
      <c r="BX154">
        <v>300</v>
      </c>
      <c r="BY154">
        <v>225</v>
      </c>
      <c r="BZ154">
        <v>650</v>
      </c>
      <c r="CA154">
        <v>19.8</v>
      </c>
      <c r="CB154">
        <v>20.3</v>
      </c>
      <c r="CC154">
        <v>19.5</v>
      </c>
      <c r="CD154">
        <v>83.4</v>
      </c>
      <c r="CE154">
        <v>81.3</v>
      </c>
      <c r="CF154">
        <v>8</v>
      </c>
      <c r="CG154">
        <v>8.6999999999999993</v>
      </c>
      <c r="CH154">
        <v>75.400000000000006</v>
      </c>
      <c r="CI154">
        <v>73.8</v>
      </c>
      <c r="CJ154">
        <v>81.099999999999994</v>
      </c>
      <c r="CK154">
        <v>765</v>
      </c>
      <c r="CL154">
        <v>685</v>
      </c>
    </row>
    <row r="155" spans="1:90" ht="14.5">
      <c r="A155" t="s">
        <v>533</v>
      </c>
      <c r="B155" t="s">
        <v>534</v>
      </c>
      <c r="C155" t="s">
        <v>535</v>
      </c>
      <c r="D155" s="224">
        <v>253719</v>
      </c>
      <c r="E155" s="224">
        <v>264108</v>
      </c>
      <c r="F155" s="224">
        <v>187092</v>
      </c>
      <c r="G155" s="224">
        <v>188337</v>
      </c>
      <c r="H155" s="224">
        <v>66627</v>
      </c>
      <c r="I155" s="224">
        <v>75771</v>
      </c>
      <c r="J155" s="224">
        <v>9071</v>
      </c>
      <c r="K155" s="224">
        <v>10153</v>
      </c>
      <c r="L155">
        <v>10.4</v>
      </c>
      <c r="M155">
        <v>78.2</v>
      </c>
      <c r="N155">
        <v>82</v>
      </c>
      <c r="O155">
        <v>59.1</v>
      </c>
      <c r="P155">
        <v>60.1</v>
      </c>
      <c r="Q155" s="225">
        <v>1070</v>
      </c>
      <c r="R155">
        <v>935</v>
      </c>
      <c r="S155" s="224">
        <v>73088</v>
      </c>
      <c r="T155">
        <v>22.8</v>
      </c>
      <c r="U155" s="224">
        <v>23266</v>
      </c>
      <c r="V155">
        <v>7.3</v>
      </c>
      <c r="W155" s="224">
        <v>33499</v>
      </c>
      <c r="X155">
        <v>5</v>
      </c>
      <c r="Y155">
        <v>2.4</v>
      </c>
      <c r="Z155">
        <v>3.6</v>
      </c>
      <c r="AA155" s="224">
        <v>3409</v>
      </c>
      <c r="AB155" s="224">
        <v>3449</v>
      </c>
      <c r="AC155" s="224">
        <v>9595</v>
      </c>
      <c r="AD155">
        <v>430</v>
      </c>
      <c r="AE155" t="s">
        <v>597</v>
      </c>
      <c r="AF155" s="224">
        <v>1635</v>
      </c>
      <c r="AG155" t="s">
        <v>597</v>
      </c>
      <c r="AH155">
        <v>160</v>
      </c>
      <c r="AI155" t="s">
        <v>597</v>
      </c>
      <c r="AJ155" s="224">
        <v>5625</v>
      </c>
      <c r="AK155" t="s">
        <v>597</v>
      </c>
      <c r="AL155" s="224">
        <v>2295</v>
      </c>
      <c r="AM155" s="224">
        <v>7300</v>
      </c>
      <c r="AN155">
        <v>61.8</v>
      </c>
      <c r="AO155" s="224">
        <v>189186</v>
      </c>
      <c r="AP155" s="224">
        <v>212631</v>
      </c>
      <c r="AQ155" s="224">
        <v>180237</v>
      </c>
      <c r="AR155" s="224">
        <v>373206</v>
      </c>
      <c r="AS155" s="224">
        <v>95690</v>
      </c>
      <c r="AT155" s="224">
        <v>86929</v>
      </c>
      <c r="AU155" s="224">
        <v>161598</v>
      </c>
      <c r="AV155">
        <v>69</v>
      </c>
      <c r="AW155" s="224">
        <v>60144</v>
      </c>
      <c r="AX155">
        <v>631</v>
      </c>
      <c r="AY155" s="224">
        <v>55731</v>
      </c>
      <c r="AZ155">
        <v>869</v>
      </c>
      <c r="BA155" s="224">
        <v>146581</v>
      </c>
      <c r="BB155" s="224">
        <v>162467</v>
      </c>
      <c r="BC155" s="225">
        <v>36723.31</v>
      </c>
      <c r="BD155" s="225">
        <v>10710.55</v>
      </c>
      <c r="BE155">
        <v>508.44</v>
      </c>
      <c r="BF155" s="225">
        <v>1155.5899999999999</v>
      </c>
      <c r="BG155" s="224">
        <v>40926</v>
      </c>
      <c r="BH155">
        <v>0</v>
      </c>
      <c r="BI155" s="224">
        <v>16987</v>
      </c>
      <c r="BJ155" s="224">
        <v>16987</v>
      </c>
      <c r="BK155">
        <v>32</v>
      </c>
      <c r="BL155" s="224">
        <v>8100</v>
      </c>
      <c r="BM155" s="224">
        <v>8700</v>
      </c>
      <c r="BN155">
        <v>500</v>
      </c>
      <c r="BO155" s="224">
        <v>8300</v>
      </c>
      <c r="BP155">
        <v>450</v>
      </c>
      <c r="BQ155">
        <v>76</v>
      </c>
      <c r="BR155">
        <v>2</v>
      </c>
      <c r="BS155">
        <v>14</v>
      </c>
      <c r="BT155">
        <v>44</v>
      </c>
      <c r="BU155">
        <v>43</v>
      </c>
      <c r="BV155">
        <v>84</v>
      </c>
      <c r="BW155" s="224">
        <v>6200</v>
      </c>
      <c r="BX155">
        <v>700</v>
      </c>
      <c r="BY155">
        <v>450</v>
      </c>
      <c r="BZ155" s="224">
        <v>1400</v>
      </c>
      <c r="CA155">
        <v>18.8</v>
      </c>
      <c r="CB155">
        <v>19.3</v>
      </c>
      <c r="CC155">
        <v>18.3</v>
      </c>
      <c r="CD155">
        <v>77.8</v>
      </c>
      <c r="CE155">
        <v>71.099999999999994</v>
      </c>
      <c r="CF155">
        <v>6.8</v>
      </c>
      <c r="CG155">
        <v>6.9</v>
      </c>
      <c r="CH155">
        <v>71.400000000000006</v>
      </c>
      <c r="CI155">
        <v>71.8</v>
      </c>
      <c r="CJ155">
        <v>65.099999999999994</v>
      </c>
      <c r="CK155" s="224">
        <v>1070</v>
      </c>
      <c r="CL155" s="224">
        <v>1885</v>
      </c>
    </row>
    <row r="156" spans="1:90" ht="14.5">
      <c r="A156" t="s">
        <v>536</v>
      </c>
      <c r="B156" t="s">
        <v>537</v>
      </c>
      <c r="C156" t="s">
        <v>538</v>
      </c>
      <c r="D156" s="224">
        <v>124742</v>
      </c>
      <c r="E156" s="224">
        <v>144951</v>
      </c>
      <c r="F156" s="224">
        <v>97153</v>
      </c>
      <c r="G156" s="224">
        <v>111575</v>
      </c>
      <c r="H156" s="224">
        <v>27589</v>
      </c>
      <c r="I156" s="224">
        <v>33376</v>
      </c>
      <c r="J156" s="224">
        <v>3387</v>
      </c>
      <c r="K156" s="224">
        <v>4887</v>
      </c>
      <c r="L156">
        <v>6.8</v>
      </c>
      <c r="M156">
        <v>82.8</v>
      </c>
      <c r="N156">
        <v>85.8</v>
      </c>
      <c r="O156">
        <v>68</v>
      </c>
      <c r="P156">
        <v>69.400000000000006</v>
      </c>
      <c r="Q156">
        <v>575</v>
      </c>
      <c r="R156">
        <v>480</v>
      </c>
      <c r="S156" s="224">
        <v>22159</v>
      </c>
      <c r="T156">
        <v>12.5</v>
      </c>
      <c r="U156" s="224">
        <v>4709</v>
      </c>
      <c r="V156">
        <v>2.7</v>
      </c>
      <c r="W156" s="224">
        <v>12195</v>
      </c>
      <c r="X156">
        <v>4.3</v>
      </c>
      <c r="Y156">
        <v>1.2</v>
      </c>
      <c r="Z156">
        <v>1.8</v>
      </c>
      <c r="AA156" s="224">
        <v>1368</v>
      </c>
      <c r="AB156" s="224">
        <v>1362</v>
      </c>
      <c r="AC156" s="224">
        <v>2345</v>
      </c>
      <c r="AD156">
        <v>290</v>
      </c>
      <c r="AE156">
        <v>540</v>
      </c>
      <c r="AF156">
        <v>55</v>
      </c>
      <c r="AG156" t="s">
        <v>597</v>
      </c>
      <c r="AH156">
        <v>105</v>
      </c>
      <c r="AI156">
        <v>550</v>
      </c>
      <c r="AJ156">
        <v>200</v>
      </c>
      <c r="AK156" t="s">
        <v>597</v>
      </c>
      <c r="AL156">
        <v>965</v>
      </c>
      <c r="AM156" s="224">
        <v>1380</v>
      </c>
      <c r="AN156">
        <v>68.099999999999994</v>
      </c>
      <c r="AO156" s="224">
        <v>82456</v>
      </c>
      <c r="AP156" s="224">
        <v>93558</v>
      </c>
      <c r="AQ156" s="224">
        <v>81254</v>
      </c>
      <c r="AR156" s="224">
        <v>172878</v>
      </c>
      <c r="AS156" s="224">
        <v>32585</v>
      </c>
      <c r="AT156" s="224">
        <v>37397</v>
      </c>
      <c r="AU156" s="224">
        <v>62465</v>
      </c>
      <c r="AV156">
        <v>72</v>
      </c>
      <c r="AW156" s="224">
        <v>23228</v>
      </c>
      <c r="AX156">
        <v>883</v>
      </c>
      <c r="AY156" s="224">
        <v>19833</v>
      </c>
      <c r="AZ156">
        <v>811</v>
      </c>
      <c r="BA156" s="224">
        <v>58628</v>
      </c>
      <c r="BB156" s="224">
        <v>63276</v>
      </c>
      <c r="BC156" s="225">
        <v>31190.67</v>
      </c>
      <c r="BD156" s="225">
        <v>24041.3</v>
      </c>
      <c r="BE156">
        <v>292.69</v>
      </c>
      <c r="BF156" s="225">
        <v>1146.93</v>
      </c>
      <c r="BG156" s="224">
        <v>12304</v>
      </c>
      <c r="BH156">
        <v>0</v>
      </c>
      <c r="BI156" s="224">
        <v>6914</v>
      </c>
      <c r="BJ156" s="224">
        <v>8865</v>
      </c>
      <c r="BK156">
        <v>474</v>
      </c>
      <c r="BL156" s="224">
        <v>4300</v>
      </c>
      <c r="BM156" s="224">
        <v>4600</v>
      </c>
      <c r="BN156">
        <v>325</v>
      </c>
      <c r="BO156" s="224">
        <v>4300</v>
      </c>
      <c r="BP156">
        <v>300</v>
      </c>
      <c r="BQ156">
        <v>76</v>
      </c>
      <c r="BR156">
        <v>9</v>
      </c>
      <c r="BS156">
        <v>38</v>
      </c>
      <c r="BT156">
        <v>33</v>
      </c>
      <c r="BU156">
        <v>45</v>
      </c>
      <c r="BV156">
        <v>50</v>
      </c>
      <c r="BW156" s="224">
        <v>3500</v>
      </c>
      <c r="BX156">
        <v>375</v>
      </c>
      <c r="BY156">
        <v>200</v>
      </c>
      <c r="BZ156">
        <v>600</v>
      </c>
      <c r="CA156">
        <v>19.399999999999999</v>
      </c>
      <c r="CB156">
        <v>19.5</v>
      </c>
      <c r="CC156">
        <v>19.399999999999999</v>
      </c>
      <c r="CD156">
        <v>82.5</v>
      </c>
      <c r="CE156">
        <v>80.3</v>
      </c>
      <c r="CF156">
        <v>7.9</v>
      </c>
      <c r="CG156">
        <v>7.5</v>
      </c>
      <c r="CH156">
        <v>73.2</v>
      </c>
      <c r="CI156">
        <v>73.8</v>
      </c>
      <c r="CJ156">
        <v>87</v>
      </c>
      <c r="CK156">
        <v>595</v>
      </c>
      <c r="CL156">
        <v>570</v>
      </c>
    </row>
    <row r="157" spans="1:90" ht="14.5">
      <c r="A157" t="s">
        <v>539</v>
      </c>
      <c r="B157" t="s">
        <v>540</v>
      </c>
      <c r="C157" t="s">
        <v>541</v>
      </c>
      <c r="D157" s="224">
        <v>197834</v>
      </c>
      <c r="E157" s="224">
        <v>214266</v>
      </c>
      <c r="F157" s="224">
        <v>155290</v>
      </c>
      <c r="G157" s="224">
        <v>168692</v>
      </c>
      <c r="H157" s="224">
        <v>42544</v>
      </c>
      <c r="I157" s="224">
        <v>45574</v>
      </c>
      <c r="J157" s="224">
        <v>6213</v>
      </c>
      <c r="K157" s="224">
        <v>6559</v>
      </c>
      <c r="L157">
        <v>8.6</v>
      </c>
      <c r="M157">
        <v>77.099999999999994</v>
      </c>
      <c r="N157">
        <v>81.2</v>
      </c>
      <c r="O157">
        <v>59.2</v>
      </c>
      <c r="P157">
        <v>58.6</v>
      </c>
      <c r="Q157">
        <v>650</v>
      </c>
      <c r="R157">
        <v>555</v>
      </c>
      <c r="S157" s="224">
        <v>47979</v>
      </c>
      <c r="T157">
        <v>18.2</v>
      </c>
      <c r="U157" s="224">
        <v>16737</v>
      </c>
      <c r="V157">
        <v>6.3</v>
      </c>
      <c r="W157" s="224">
        <v>22852</v>
      </c>
      <c r="X157">
        <v>3.9</v>
      </c>
      <c r="Y157">
        <v>2.2999999999999998</v>
      </c>
      <c r="Z157">
        <v>3</v>
      </c>
      <c r="AA157" s="224">
        <v>2292</v>
      </c>
      <c r="AB157" s="224">
        <v>2360</v>
      </c>
      <c r="AC157" s="224">
        <v>4550</v>
      </c>
      <c r="AD157">
        <v>510</v>
      </c>
      <c r="AE157">
        <v>725</v>
      </c>
      <c r="AF157" t="s">
        <v>597</v>
      </c>
      <c r="AG157" t="s">
        <v>597</v>
      </c>
      <c r="AH157">
        <v>415</v>
      </c>
      <c r="AI157" s="224">
        <v>1610</v>
      </c>
      <c r="AJ157" t="s">
        <v>597</v>
      </c>
      <c r="AK157" t="s">
        <v>597</v>
      </c>
      <c r="AL157" s="224">
        <v>1445</v>
      </c>
      <c r="AM157" s="224">
        <v>3105</v>
      </c>
      <c r="AN157">
        <v>63.3</v>
      </c>
      <c r="AO157" s="224">
        <v>150383</v>
      </c>
      <c r="AP157" s="224">
        <v>165715</v>
      </c>
      <c r="AQ157" s="224">
        <v>135729</v>
      </c>
      <c r="AR157" s="224">
        <v>268431</v>
      </c>
      <c r="AS157" s="224">
        <v>67106</v>
      </c>
      <c r="AT157" s="224">
        <v>61570</v>
      </c>
      <c r="AU157" s="224">
        <v>112265</v>
      </c>
      <c r="AV157" s="224">
        <v>2902</v>
      </c>
      <c r="AW157" s="224">
        <v>37661</v>
      </c>
      <c r="AX157" s="224">
        <v>5792</v>
      </c>
      <c r="AY157" s="224">
        <v>39968</v>
      </c>
      <c r="AZ157" s="224">
        <v>9715</v>
      </c>
      <c r="BA157" s="224">
        <v>110511</v>
      </c>
      <c r="BB157" s="224">
        <v>121980</v>
      </c>
      <c r="BC157" s="225">
        <v>42083.040000000001</v>
      </c>
      <c r="BD157" s="225">
        <v>19700.48</v>
      </c>
      <c r="BE157">
        <v>415</v>
      </c>
      <c r="BF157" s="225">
        <v>1478.08</v>
      </c>
      <c r="BG157" s="224">
        <v>29992</v>
      </c>
      <c r="BH157">
        <v>0</v>
      </c>
      <c r="BI157" s="224">
        <v>9537</v>
      </c>
      <c r="BJ157" s="224">
        <v>11424</v>
      </c>
      <c r="BK157" s="224">
        <v>1015</v>
      </c>
      <c r="BL157" s="224">
        <v>9000</v>
      </c>
      <c r="BM157" s="224">
        <v>9600</v>
      </c>
      <c r="BN157">
        <v>600</v>
      </c>
      <c r="BO157" s="224">
        <v>9000</v>
      </c>
      <c r="BP157">
        <v>500</v>
      </c>
      <c r="BQ157">
        <v>81</v>
      </c>
      <c r="BR157">
        <v>4</v>
      </c>
      <c r="BS157">
        <v>28</v>
      </c>
      <c r="BT157">
        <v>35</v>
      </c>
      <c r="BU157">
        <v>43</v>
      </c>
      <c r="BV157">
        <v>47</v>
      </c>
      <c r="BW157" s="224">
        <v>7600</v>
      </c>
      <c r="BX157">
        <v>700</v>
      </c>
      <c r="BY157">
        <v>300</v>
      </c>
      <c r="BZ157">
        <v>950</v>
      </c>
      <c r="CA157">
        <v>18.8</v>
      </c>
      <c r="CB157">
        <v>19.399999999999999</v>
      </c>
      <c r="CC157">
        <v>18.5</v>
      </c>
      <c r="CD157">
        <v>77.599999999999994</v>
      </c>
      <c r="CE157">
        <v>74.3</v>
      </c>
      <c r="CF157">
        <v>7.4</v>
      </c>
      <c r="CG157">
        <v>7.6</v>
      </c>
      <c r="CH157">
        <v>70.900000000000006</v>
      </c>
      <c r="CI157">
        <v>74.8</v>
      </c>
      <c r="CJ157">
        <v>71.400000000000006</v>
      </c>
      <c r="CK157" s="224">
        <v>3185</v>
      </c>
      <c r="CL157" s="224">
        <v>3010</v>
      </c>
    </row>
    <row r="158" spans="1:90" ht="14.5">
      <c r="A158" t="s">
        <v>542</v>
      </c>
      <c r="B158" t="s">
        <v>543</v>
      </c>
      <c r="C158" t="s">
        <v>544</v>
      </c>
      <c r="D158" s="224">
        <v>467035</v>
      </c>
      <c r="E158" s="224">
        <v>505814</v>
      </c>
      <c r="F158" s="224">
        <v>341854</v>
      </c>
      <c r="G158" s="224">
        <v>357095</v>
      </c>
      <c r="H158" s="224">
        <v>125181</v>
      </c>
      <c r="I158" s="224">
        <v>148719</v>
      </c>
      <c r="J158" s="224">
        <v>16392</v>
      </c>
      <c r="K158" s="224">
        <v>20445</v>
      </c>
      <c r="L158">
        <v>8.6999999999999993</v>
      </c>
      <c r="M158">
        <v>79.8</v>
      </c>
      <c r="N158">
        <v>83.8</v>
      </c>
      <c r="O158">
        <v>63.3</v>
      </c>
      <c r="P158">
        <v>63.1</v>
      </c>
      <c r="Q158" s="225">
        <v>1585</v>
      </c>
      <c r="R158" s="224">
        <v>1420</v>
      </c>
      <c r="S158" s="224">
        <v>108494</v>
      </c>
      <c r="T158">
        <v>18</v>
      </c>
      <c r="U158" s="224">
        <v>30205</v>
      </c>
      <c r="V158">
        <v>5</v>
      </c>
      <c r="W158" s="224">
        <v>52741</v>
      </c>
      <c r="X158">
        <v>4.8</v>
      </c>
      <c r="Y158">
        <v>1.7</v>
      </c>
      <c r="Z158">
        <v>2.7</v>
      </c>
      <c r="AA158" s="224">
        <v>6386</v>
      </c>
      <c r="AB158" s="224">
        <v>6687</v>
      </c>
      <c r="AC158" s="224">
        <v>9030</v>
      </c>
      <c r="AD158">
        <v>930</v>
      </c>
      <c r="AE158" s="224">
        <v>1650</v>
      </c>
      <c r="AF158">
        <v>95</v>
      </c>
      <c r="AG158" t="s">
        <v>597</v>
      </c>
      <c r="AH158">
        <v>310</v>
      </c>
      <c r="AI158" s="224">
        <v>2985</v>
      </c>
      <c r="AJ158">
        <v>65</v>
      </c>
      <c r="AK158" t="s">
        <v>597</v>
      </c>
      <c r="AL158" s="224">
        <v>3120</v>
      </c>
      <c r="AM158" s="224">
        <v>5910</v>
      </c>
      <c r="AN158">
        <v>66.8</v>
      </c>
      <c r="AO158" s="224">
        <v>279726</v>
      </c>
      <c r="AP158" s="224">
        <v>318057</v>
      </c>
      <c r="AQ158" s="224">
        <v>286782</v>
      </c>
      <c r="AR158" s="224">
        <v>468596</v>
      </c>
      <c r="AS158" s="224">
        <v>135848</v>
      </c>
      <c r="AT158" s="224">
        <v>132605</v>
      </c>
      <c r="AU158" s="224">
        <v>217924</v>
      </c>
      <c r="AV158" s="224">
        <v>2645</v>
      </c>
      <c r="AW158" s="224">
        <v>81025</v>
      </c>
      <c r="AX158" s="224">
        <v>5864</v>
      </c>
      <c r="AY158" s="224">
        <v>70200</v>
      </c>
      <c r="AZ158" s="224">
        <v>8322</v>
      </c>
      <c r="BA158" s="224">
        <v>218837</v>
      </c>
      <c r="BB158" s="224">
        <v>226246</v>
      </c>
      <c r="BC158" s="225">
        <v>36571.47</v>
      </c>
      <c r="BD158" s="225">
        <v>18975.13</v>
      </c>
      <c r="BE158">
        <v>387.83</v>
      </c>
      <c r="BF158">
        <v>931.08</v>
      </c>
      <c r="BG158" s="224">
        <v>45681</v>
      </c>
      <c r="BH158">
        <v>0</v>
      </c>
      <c r="BI158" s="224">
        <v>20027</v>
      </c>
      <c r="BJ158" s="224">
        <v>28087</v>
      </c>
      <c r="BK158" s="224">
        <v>4987</v>
      </c>
      <c r="BL158" s="224">
        <v>13500</v>
      </c>
      <c r="BM158" s="224">
        <v>15000</v>
      </c>
      <c r="BN158">
        <v>650</v>
      </c>
      <c r="BO158" s="224">
        <v>14000</v>
      </c>
      <c r="BP158" s="224">
        <v>1000</v>
      </c>
      <c r="BQ158">
        <v>81</v>
      </c>
      <c r="BR158">
        <v>5</v>
      </c>
      <c r="BS158">
        <v>21</v>
      </c>
      <c r="BT158">
        <v>45</v>
      </c>
      <c r="BU158">
        <v>43</v>
      </c>
      <c r="BV158">
        <v>70</v>
      </c>
      <c r="BW158" s="224">
        <v>10500</v>
      </c>
      <c r="BX158" s="224">
        <v>1200</v>
      </c>
      <c r="BY158">
        <v>700</v>
      </c>
      <c r="BZ158" s="224">
        <v>2300</v>
      </c>
      <c r="CA158">
        <v>19.399999999999999</v>
      </c>
      <c r="CB158">
        <v>20</v>
      </c>
      <c r="CC158">
        <v>19.100000000000001</v>
      </c>
      <c r="CD158">
        <v>77.8</v>
      </c>
      <c r="CE158">
        <v>72.7</v>
      </c>
      <c r="CF158">
        <v>7.5</v>
      </c>
      <c r="CG158">
        <v>7.7</v>
      </c>
      <c r="CH158">
        <v>73.599999999999994</v>
      </c>
      <c r="CI158">
        <v>74.2</v>
      </c>
      <c r="CJ158">
        <v>81.3</v>
      </c>
      <c r="CK158" s="224">
        <v>1180</v>
      </c>
      <c r="CL158" s="224">
        <v>1245</v>
      </c>
    </row>
    <row r="159" spans="1:90" ht="14.5">
      <c r="A159" t="s">
        <v>545</v>
      </c>
      <c r="B159" t="s">
        <v>546</v>
      </c>
      <c r="C159" t="s">
        <v>547</v>
      </c>
      <c r="D159" s="224">
        <v>167246</v>
      </c>
      <c r="E159" s="224">
        <v>175501</v>
      </c>
      <c r="F159" s="224">
        <v>130408</v>
      </c>
      <c r="G159" s="224">
        <v>134665</v>
      </c>
      <c r="H159" s="224">
        <v>36838</v>
      </c>
      <c r="I159" s="224">
        <v>40836</v>
      </c>
      <c r="J159" s="224">
        <v>5179</v>
      </c>
      <c r="K159" s="224">
        <v>6140</v>
      </c>
      <c r="L159">
        <v>7.4</v>
      </c>
      <c r="M159">
        <v>79.7</v>
      </c>
      <c r="N159">
        <v>83.7</v>
      </c>
      <c r="O159">
        <v>60.8</v>
      </c>
      <c r="P159">
        <v>61.4</v>
      </c>
      <c r="Q159">
        <v>475</v>
      </c>
      <c r="R159">
        <v>410</v>
      </c>
      <c r="S159" s="224">
        <v>34592</v>
      </c>
      <c r="T159">
        <v>17.100000000000001</v>
      </c>
      <c r="U159" s="224">
        <v>8574</v>
      </c>
      <c r="V159">
        <v>4.2</v>
      </c>
      <c r="W159" s="224">
        <v>14868</v>
      </c>
      <c r="X159">
        <v>4.4000000000000004</v>
      </c>
      <c r="Y159">
        <v>1.3</v>
      </c>
      <c r="Z159">
        <v>2</v>
      </c>
      <c r="AA159" s="224">
        <v>1828</v>
      </c>
      <c r="AB159" s="224">
        <v>1931</v>
      </c>
      <c r="AC159" s="224">
        <v>2970</v>
      </c>
      <c r="AD159">
        <v>555</v>
      </c>
      <c r="AE159">
        <v>445</v>
      </c>
      <c r="AF159" t="s">
        <v>597</v>
      </c>
      <c r="AG159" t="s">
        <v>597</v>
      </c>
      <c r="AH159">
        <v>195</v>
      </c>
      <c r="AI159">
        <v>910</v>
      </c>
      <c r="AJ159" t="s">
        <v>597</v>
      </c>
      <c r="AK159" t="s">
        <v>597</v>
      </c>
      <c r="AL159" s="224">
        <v>1155</v>
      </c>
      <c r="AM159" s="224">
        <v>1815</v>
      </c>
      <c r="AN159">
        <v>66.5</v>
      </c>
      <c r="AO159" s="224">
        <v>95215</v>
      </c>
      <c r="AP159" s="224">
        <v>112504</v>
      </c>
      <c r="AQ159" s="224">
        <v>95133</v>
      </c>
      <c r="AR159" s="224">
        <v>160561</v>
      </c>
      <c r="AS159" s="224">
        <v>48058</v>
      </c>
      <c r="AT159" s="224">
        <v>43784</v>
      </c>
      <c r="AU159" s="224">
        <v>75757</v>
      </c>
      <c r="AV159">
        <v>623</v>
      </c>
      <c r="AW159" s="224">
        <v>29520</v>
      </c>
      <c r="AX159">
        <v>34</v>
      </c>
      <c r="AY159" s="224">
        <v>25235</v>
      </c>
      <c r="AZ159">
        <v>619</v>
      </c>
      <c r="BA159" s="224">
        <v>73382</v>
      </c>
      <c r="BB159" s="224">
        <v>76376</v>
      </c>
      <c r="BC159" s="225">
        <v>36708.230000000003</v>
      </c>
      <c r="BD159" s="225">
        <v>18720.66</v>
      </c>
      <c r="BE159">
        <v>361.5</v>
      </c>
      <c r="BF159" s="225">
        <v>1073.02</v>
      </c>
      <c r="BG159" s="224">
        <v>20408</v>
      </c>
      <c r="BH159">
        <v>548</v>
      </c>
      <c r="BI159" s="224">
        <v>14713</v>
      </c>
      <c r="BJ159" s="224">
        <v>21561</v>
      </c>
      <c r="BK159" s="224">
        <v>1498</v>
      </c>
      <c r="BL159" s="224">
        <v>5600</v>
      </c>
      <c r="BM159" s="224">
        <v>5900</v>
      </c>
      <c r="BN159">
        <v>275</v>
      </c>
      <c r="BO159" s="224">
        <v>5600</v>
      </c>
      <c r="BP159">
        <v>300</v>
      </c>
      <c r="BQ159">
        <v>74</v>
      </c>
      <c r="BR159">
        <v>4</v>
      </c>
      <c r="BS159">
        <v>24</v>
      </c>
      <c r="BT159">
        <v>41</v>
      </c>
      <c r="BU159">
        <v>43</v>
      </c>
      <c r="BV159">
        <v>68</v>
      </c>
      <c r="BW159" s="224">
        <v>4400</v>
      </c>
      <c r="BX159">
        <v>500</v>
      </c>
      <c r="BY159">
        <v>275</v>
      </c>
      <c r="BZ159">
        <v>750</v>
      </c>
      <c r="CA159">
        <v>18.7</v>
      </c>
      <c r="CB159">
        <v>19.5</v>
      </c>
      <c r="CC159">
        <v>18.2</v>
      </c>
      <c r="CD159">
        <v>75.3</v>
      </c>
      <c r="CE159">
        <v>68.900000000000006</v>
      </c>
      <c r="CF159">
        <v>7.3</v>
      </c>
      <c r="CG159">
        <v>7.8</v>
      </c>
      <c r="CH159">
        <v>71.3</v>
      </c>
      <c r="CI159">
        <v>74.7</v>
      </c>
      <c r="CJ159">
        <v>80</v>
      </c>
      <c r="CK159">
        <v>945</v>
      </c>
      <c r="CL159">
        <v>870</v>
      </c>
    </row>
    <row r="160" spans="1:90" ht="14.5">
      <c r="A160" t="s">
        <v>0</v>
      </c>
      <c r="B160" t="s">
        <v>548</v>
      </c>
      <c r="C160" t="s">
        <v>549</v>
      </c>
      <c r="D160" s="224">
        <v>43214785</v>
      </c>
      <c r="E160" s="224">
        <v>46877209</v>
      </c>
      <c r="F160" s="224">
        <v>33553450</v>
      </c>
      <c r="G160" s="224">
        <v>35642818</v>
      </c>
      <c r="H160" s="224">
        <v>9661335</v>
      </c>
      <c r="I160" s="224">
        <v>11234391</v>
      </c>
      <c r="J160" s="224">
        <v>1284214</v>
      </c>
      <c r="K160" s="224">
        <v>1519243</v>
      </c>
      <c r="L160">
        <v>8.3000000000000007</v>
      </c>
      <c r="M160">
        <v>79.5</v>
      </c>
      <c r="N160">
        <v>83.3</v>
      </c>
      <c r="O160">
        <v>60.9</v>
      </c>
      <c r="P160">
        <v>61.3</v>
      </c>
      <c r="Q160" s="225">
        <v>154330</v>
      </c>
      <c r="R160" s="224">
        <v>135205</v>
      </c>
      <c r="S160" s="224">
        <v>9774510</v>
      </c>
      <c r="T160">
        <v>17.3</v>
      </c>
      <c r="U160" s="224">
        <v>2911136</v>
      </c>
      <c r="V160">
        <v>5.2</v>
      </c>
      <c r="W160" s="224">
        <v>4678265</v>
      </c>
      <c r="X160">
        <v>4.3</v>
      </c>
      <c r="Y160">
        <v>1.8</v>
      </c>
      <c r="Z160">
        <v>2.6</v>
      </c>
      <c r="AA160" s="224">
        <v>470032</v>
      </c>
      <c r="AB160" s="224">
        <v>486553</v>
      </c>
      <c r="AC160" s="224">
        <v>888755</v>
      </c>
      <c r="AD160" s="224">
        <v>94815</v>
      </c>
      <c r="AE160" s="224">
        <v>132670</v>
      </c>
      <c r="AF160" s="224">
        <v>24185</v>
      </c>
      <c r="AG160" s="224">
        <v>17030</v>
      </c>
      <c r="AH160" s="224">
        <v>43775</v>
      </c>
      <c r="AI160" s="224">
        <v>232785</v>
      </c>
      <c r="AJ160" s="224">
        <v>47690</v>
      </c>
      <c r="AK160" s="224">
        <v>28285</v>
      </c>
      <c r="AL160" s="224">
        <v>312770</v>
      </c>
      <c r="AM160" s="224">
        <v>575985</v>
      </c>
      <c r="AN160">
        <v>65.099999999999994</v>
      </c>
      <c r="AO160" s="224">
        <v>29393167</v>
      </c>
      <c r="AP160" s="224">
        <v>31643733</v>
      </c>
      <c r="AQ160" s="224">
        <v>27427004</v>
      </c>
      <c r="AR160" s="224">
        <v>76743595</v>
      </c>
      <c r="AS160" s="224">
        <v>12584657</v>
      </c>
      <c r="AT160" s="224">
        <v>13170742</v>
      </c>
      <c r="AU160" s="224">
        <v>23555491</v>
      </c>
      <c r="AV160" s="224">
        <v>259532</v>
      </c>
      <c r="AW160" s="224">
        <v>7820002</v>
      </c>
      <c r="AX160" s="224">
        <v>791603</v>
      </c>
      <c r="AY160" s="224">
        <v>8479013</v>
      </c>
      <c r="AZ160" s="224">
        <v>1053988</v>
      </c>
      <c r="BA160" s="224">
        <v>22386401</v>
      </c>
      <c r="BB160" s="224">
        <v>24609479</v>
      </c>
      <c r="BC160" s="225">
        <v>37692.339999999997</v>
      </c>
      <c r="BD160" s="225">
        <v>22258.3</v>
      </c>
      <c r="BE160">
        <v>360.36</v>
      </c>
      <c r="BF160" s="225">
        <v>1242.82</v>
      </c>
      <c r="BG160" s="224">
        <v>4959580</v>
      </c>
      <c r="BH160" s="224">
        <v>121741</v>
      </c>
      <c r="BI160" s="224">
        <v>2566562</v>
      </c>
      <c r="BJ160" s="224">
        <v>4328524</v>
      </c>
      <c r="BK160" s="224">
        <v>438278</v>
      </c>
      <c r="BL160" s="224">
        <v>1330000</v>
      </c>
      <c r="BM160" s="224">
        <v>1465000</v>
      </c>
      <c r="BN160" s="224">
        <v>97000</v>
      </c>
      <c r="BO160" s="224">
        <v>1345000</v>
      </c>
      <c r="BP160" s="224">
        <v>119900</v>
      </c>
      <c r="BQ160">
        <v>78</v>
      </c>
      <c r="BR160">
        <v>6</v>
      </c>
      <c r="BS160">
        <v>25</v>
      </c>
      <c r="BT160">
        <v>40</v>
      </c>
      <c r="BU160">
        <v>44</v>
      </c>
      <c r="BV160">
        <v>62</v>
      </c>
      <c r="BW160" s="224">
        <v>1080000</v>
      </c>
      <c r="BX160" s="224">
        <v>123000</v>
      </c>
      <c r="BY160" s="224">
        <v>62000</v>
      </c>
      <c r="BZ160" s="224">
        <v>201000</v>
      </c>
      <c r="CA160">
        <v>19</v>
      </c>
      <c r="CB160">
        <v>19.5</v>
      </c>
      <c r="CC160">
        <v>18.7</v>
      </c>
      <c r="CD160">
        <v>77.3</v>
      </c>
      <c r="CE160">
        <v>73.8</v>
      </c>
      <c r="CF160">
        <v>7.3</v>
      </c>
      <c r="CG160">
        <v>7.5</v>
      </c>
      <c r="CH160">
        <v>70.099999999999994</v>
      </c>
      <c r="CI160">
        <v>71</v>
      </c>
      <c r="CJ160">
        <v>81.7</v>
      </c>
      <c r="CK160" s="224">
        <v>356235</v>
      </c>
      <c r="CL160" s="224">
        <v>360815</v>
      </c>
    </row>
    <row r="161" spans="1:90" ht="14.5">
      <c r="A161" t="s">
        <v>550</v>
      </c>
      <c r="B161" t="s">
        <v>699</v>
      </c>
      <c r="C161" t="s">
        <v>551</v>
      </c>
      <c r="D161" s="224">
        <v>5007313</v>
      </c>
      <c r="E161" s="224">
        <v>5471457</v>
      </c>
      <c r="F161" s="224">
        <v>3814944</v>
      </c>
      <c r="G161" s="224">
        <v>4084497</v>
      </c>
      <c r="H161" s="224">
        <v>1192369</v>
      </c>
      <c r="I161" s="224">
        <v>1386960</v>
      </c>
      <c r="J161" s="224">
        <v>162734</v>
      </c>
      <c r="K161" s="224">
        <v>195048</v>
      </c>
      <c r="L161">
        <v>8.1</v>
      </c>
      <c r="M161"/>
      <c r="N161"/>
      <c r="O161"/>
      <c r="P161"/>
      <c r="Q161" s="225">
        <v>18315</v>
      </c>
      <c r="R161" s="224">
        <v>16175</v>
      </c>
      <c r="S161" s="224">
        <v>1096344</v>
      </c>
      <c r="T161">
        <v>16.600000000000001</v>
      </c>
      <c r="U161" s="224">
        <v>302105</v>
      </c>
      <c r="V161">
        <v>4.5999999999999996</v>
      </c>
      <c r="W161" s="224">
        <v>534617</v>
      </c>
      <c r="X161">
        <v>4.4000000000000004</v>
      </c>
      <c r="Y161">
        <v>1.6</v>
      </c>
      <c r="Z161">
        <v>2.5</v>
      </c>
      <c r="AA161" s="224">
        <v>56685</v>
      </c>
      <c r="AB161" s="224">
        <v>58381</v>
      </c>
      <c r="AC161" s="224">
        <v>101710</v>
      </c>
      <c r="AD161" s="224">
        <v>9700</v>
      </c>
      <c r="AE161" s="224">
        <v>15575</v>
      </c>
      <c r="AF161" t="s">
        <v>597</v>
      </c>
      <c r="AG161" t="s">
        <v>597</v>
      </c>
      <c r="AH161" s="224">
        <v>4015</v>
      </c>
      <c r="AI161" s="224">
        <v>29625</v>
      </c>
      <c r="AJ161" t="s">
        <v>597</v>
      </c>
      <c r="AK161" t="s">
        <v>597</v>
      </c>
      <c r="AL161" s="224">
        <v>34775</v>
      </c>
      <c r="AM161" s="224">
        <v>66935</v>
      </c>
      <c r="AN161"/>
      <c r="AO161" s="224">
        <v>3450464</v>
      </c>
      <c r="AP161" s="224">
        <v>3687717</v>
      </c>
      <c r="AQ161" s="224">
        <v>3144855</v>
      </c>
      <c r="AR161" s="224">
        <v>5578728</v>
      </c>
      <c r="AS161" s="224">
        <v>1489756</v>
      </c>
      <c r="AT161" s="224">
        <v>1518197</v>
      </c>
      <c r="AU161" s="224">
        <v>2737168</v>
      </c>
      <c r="AV161" s="224">
        <v>11329</v>
      </c>
      <c r="AW161" s="224">
        <v>981155</v>
      </c>
      <c r="AX161" s="224">
        <v>52227</v>
      </c>
      <c r="AY161" s="224">
        <v>965857</v>
      </c>
      <c r="AZ161" s="224">
        <v>67540</v>
      </c>
      <c r="BA161" s="224">
        <v>2561862</v>
      </c>
      <c r="BB161" s="224">
        <v>2804708</v>
      </c>
      <c r="BC161" s="225">
        <v>39583.49</v>
      </c>
      <c r="BD161" s="225">
        <v>21337</v>
      </c>
      <c r="BE161">
        <v>367.51</v>
      </c>
      <c r="BF161" s="225">
        <v>1132.28</v>
      </c>
      <c r="BG161" s="224">
        <v>566169</v>
      </c>
      <c r="BH161" s="224">
        <v>15617</v>
      </c>
      <c r="BI161" s="224">
        <v>232282</v>
      </c>
      <c r="BJ161" s="224">
        <v>354036</v>
      </c>
      <c r="BK161" s="224">
        <v>16131</v>
      </c>
      <c r="BL161" s="224">
        <v>155600</v>
      </c>
      <c r="BM161" s="224">
        <v>169100</v>
      </c>
      <c r="BN161" s="224">
        <v>11850</v>
      </c>
      <c r="BO161" s="224">
        <v>155300</v>
      </c>
      <c r="BP161" s="224">
        <v>14150</v>
      </c>
      <c r="BQ161"/>
      <c r="BR161"/>
      <c r="BS161"/>
      <c r="BT161"/>
      <c r="BU161"/>
      <c r="BV161"/>
      <c r="BW161" s="224">
        <v>124000</v>
      </c>
      <c r="BX161" s="224">
        <v>14625</v>
      </c>
      <c r="BY161" s="224">
        <v>6725</v>
      </c>
      <c r="BZ161" s="224">
        <v>23700</v>
      </c>
      <c r="CA161"/>
      <c r="CB161"/>
      <c r="CC161"/>
      <c r="CD161"/>
      <c r="CE161"/>
      <c r="CF161"/>
      <c r="CG161"/>
      <c r="CH161"/>
      <c r="CI161"/>
      <c r="CJ161"/>
      <c r="CK161" s="224">
        <v>32315</v>
      </c>
      <c r="CL161" s="224">
        <v>32305</v>
      </c>
    </row>
    <row r="162" spans="1:90" ht="14.5">
      <c r="A162" t="s">
        <v>552</v>
      </c>
      <c r="B162" t="s">
        <v>700</v>
      </c>
      <c r="C162" t="s">
        <v>553</v>
      </c>
      <c r="D162" s="224">
        <v>3713729</v>
      </c>
      <c r="E162" s="224">
        <v>4068281</v>
      </c>
      <c r="F162" s="224">
        <v>2838778</v>
      </c>
      <c r="G162" s="224">
        <v>3039679</v>
      </c>
      <c r="H162" s="224">
        <v>874951</v>
      </c>
      <c r="I162" s="224">
        <v>1028602</v>
      </c>
      <c r="J162" s="224">
        <v>110969</v>
      </c>
      <c r="K162" s="224">
        <v>131840</v>
      </c>
      <c r="L162">
        <v>7.5</v>
      </c>
      <c r="M162">
        <v>79</v>
      </c>
      <c r="N162">
        <v>82.8</v>
      </c>
      <c r="O162">
        <v>59.4</v>
      </c>
      <c r="P162">
        <v>59.3</v>
      </c>
      <c r="Q162" s="225">
        <v>13320</v>
      </c>
      <c r="R162" s="224">
        <v>11605</v>
      </c>
      <c r="S162" s="224">
        <v>767732</v>
      </c>
      <c r="T162">
        <v>18.7</v>
      </c>
      <c r="U162" s="224">
        <v>225664</v>
      </c>
      <c r="V162">
        <v>5.5</v>
      </c>
      <c r="W162" s="224">
        <v>367615</v>
      </c>
      <c r="X162">
        <v>4.5999999999999996</v>
      </c>
      <c r="Y162">
        <v>1.9</v>
      </c>
      <c r="Z162">
        <v>2.9</v>
      </c>
      <c r="AA162" s="224">
        <v>44531</v>
      </c>
      <c r="AB162" s="224">
        <v>46063</v>
      </c>
      <c r="AC162" s="224">
        <v>75725</v>
      </c>
      <c r="AD162" s="224">
        <v>10340</v>
      </c>
      <c r="AE162" s="224">
        <v>10735</v>
      </c>
      <c r="AF162" t="s">
        <v>597</v>
      </c>
      <c r="AG162" t="s">
        <v>597</v>
      </c>
      <c r="AH162" s="224">
        <v>5400</v>
      </c>
      <c r="AI162" s="224">
        <v>19275</v>
      </c>
      <c r="AJ162" t="s">
        <v>597</v>
      </c>
      <c r="AK162" t="s">
        <v>597</v>
      </c>
      <c r="AL162" s="224">
        <v>26490</v>
      </c>
      <c r="AM162" s="224">
        <v>49235</v>
      </c>
      <c r="AN162">
        <v>64</v>
      </c>
      <c r="AO162" s="224">
        <v>2361192</v>
      </c>
      <c r="AP162" s="224">
        <v>2463360</v>
      </c>
      <c r="AQ162" s="224">
        <v>2264479</v>
      </c>
      <c r="AR162" s="224">
        <v>4143807</v>
      </c>
      <c r="AS162" s="224">
        <v>1021082</v>
      </c>
      <c r="AT162" s="224">
        <v>1017645</v>
      </c>
      <c r="AU162" s="224">
        <v>1901452</v>
      </c>
      <c r="AV162" s="224">
        <v>31368</v>
      </c>
      <c r="AW162" s="224">
        <v>632789</v>
      </c>
      <c r="AX162" s="224">
        <v>63502</v>
      </c>
      <c r="AY162" s="224">
        <v>707969</v>
      </c>
      <c r="AZ162" s="224">
        <v>115027</v>
      </c>
      <c r="BA162" s="224">
        <v>1894622</v>
      </c>
      <c r="BB162" s="224">
        <v>2016479</v>
      </c>
      <c r="BC162" s="225">
        <v>36740.35</v>
      </c>
      <c r="BD162" s="225">
        <v>21188.73</v>
      </c>
      <c r="BE162">
        <v>346.24</v>
      </c>
      <c r="BF162" s="225">
        <v>1051.08</v>
      </c>
      <c r="BG162" s="224">
        <v>345098</v>
      </c>
      <c r="BH162" s="224">
        <v>36858</v>
      </c>
      <c r="BI162" s="224">
        <v>101971</v>
      </c>
      <c r="BJ162" s="224">
        <v>239467</v>
      </c>
      <c r="BK162" s="224">
        <v>35463</v>
      </c>
      <c r="BL162" s="224">
        <v>123900</v>
      </c>
      <c r="BM162" s="224">
        <v>137900</v>
      </c>
      <c r="BN162" s="224">
        <v>10050</v>
      </c>
      <c r="BO162" s="224">
        <v>125950</v>
      </c>
      <c r="BP162" s="224">
        <v>11475</v>
      </c>
      <c r="BQ162">
        <v>78</v>
      </c>
      <c r="BR162">
        <v>5</v>
      </c>
      <c r="BS162">
        <v>25</v>
      </c>
      <c r="BT162">
        <v>40</v>
      </c>
      <c r="BU162">
        <v>43</v>
      </c>
      <c r="BV162">
        <v>65</v>
      </c>
      <c r="BW162" s="224">
        <v>103150</v>
      </c>
      <c r="BX162" s="224">
        <v>11100</v>
      </c>
      <c r="BY162" s="224">
        <v>5150</v>
      </c>
      <c r="BZ162" s="224">
        <v>18025</v>
      </c>
      <c r="CA162">
        <v>18.899999999999999</v>
      </c>
      <c r="CB162">
        <v>19.3</v>
      </c>
      <c r="CC162">
        <v>18.600000000000001</v>
      </c>
      <c r="CD162">
        <v>77.5</v>
      </c>
      <c r="CE162">
        <v>73.2</v>
      </c>
      <c r="CF162">
        <v>7.3</v>
      </c>
      <c r="CG162">
        <v>7.4</v>
      </c>
      <c r="CH162">
        <v>68.099999999999994</v>
      </c>
      <c r="CI162">
        <v>70</v>
      </c>
      <c r="CJ162">
        <v>78.7</v>
      </c>
      <c r="CK162" s="224">
        <v>34000</v>
      </c>
      <c r="CL162" s="224">
        <v>33950</v>
      </c>
    </row>
    <row r="163" spans="1:90" ht="14.5">
      <c r="A163" t="s">
        <v>554</v>
      </c>
      <c r="B163" t="s">
        <v>554</v>
      </c>
      <c r="C163" t="s">
        <v>555</v>
      </c>
      <c r="D163" s="224">
        <v>6747770</v>
      </c>
      <c r="E163" s="224">
        <v>7283617</v>
      </c>
      <c r="F163" s="224">
        <v>5770765</v>
      </c>
      <c r="G163" s="224">
        <v>6131099</v>
      </c>
      <c r="H163" s="224">
        <v>977005</v>
      </c>
      <c r="I163" s="224">
        <v>1152518</v>
      </c>
      <c r="J163" s="224">
        <v>131932</v>
      </c>
      <c r="K163" s="224">
        <v>151595</v>
      </c>
      <c r="L163">
        <v>6.8</v>
      </c>
      <c r="M163">
        <v>80.5</v>
      </c>
      <c r="N163">
        <v>84.7</v>
      </c>
      <c r="O163">
        <v>62.9</v>
      </c>
      <c r="P163">
        <v>62.9</v>
      </c>
      <c r="Q163" t="s">
        <v>597</v>
      </c>
      <c r="R163" t="s">
        <v>598</v>
      </c>
      <c r="S163" s="224">
        <v>1164454</v>
      </c>
      <c r="T163">
        <v>13.2</v>
      </c>
      <c r="U163" s="224">
        <v>376030</v>
      </c>
      <c r="V163">
        <v>4.3</v>
      </c>
      <c r="W163" s="224">
        <v>596470</v>
      </c>
      <c r="X163">
        <v>3.6</v>
      </c>
      <c r="Y163">
        <v>1.7</v>
      </c>
      <c r="Z163">
        <v>2</v>
      </c>
      <c r="AA163" s="224">
        <v>37176</v>
      </c>
      <c r="AB163" s="224">
        <v>37515</v>
      </c>
      <c r="AC163" s="224">
        <v>130630</v>
      </c>
      <c r="AD163" s="224">
        <v>14470</v>
      </c>
      <c r="AE163" t="s">
        <v>597</v>
      </c>
      <c r="AF163" t="s">
        <v>597</v>
      </c>
      <c r="AG163" t="s">
        <v>597</v>
      </c>
      <c r="AH163" s="224">
        <v>8645</v>
      </c>
      <c r="AI163" t="s">
        <v>597</v>
      </c>
      <c r="AJ163" t="s">
        <v>597</v>
      </c>
      <c r="AK163" t="s">
        <v>597</v>
      </c>
      <c r="AL163" s="224">
        <v>52540</v>
      </c>
      <c r="AM163" s="224">
        <v>78090</v>
      </c>
      <c r="AN163">
        <v>60.7</v>
      </c>
      <c r="AO163" s="224">
        <v>4123883</v>
      </c>
      <c r="AP163" s="224">
        <v>4439080</v>
      </c>
      <c r="AQ163" s="224">
        <v>4081751</v>
      </c>
      <c r="AR163" s="224">
        <v>8916700</v>
      </c>
      <c r="AS163" s="224">
        <v>1834430</v>
      </c>
      <c r="AT163" s="224">
        <v>1695563</v>
      </c>
      <c r="AU163" s="224">
        <v>3312936</v>
      </c>
      <c r="AV163" s="224">
        <v>30407</v>
      </c>
      <c r="AW163" s="224">
        <v>1085285</v>
      </c>
      <c r="AX163" s="224">
        <v>84661</v>
      </c>
      <c r="AY163" s="224">
        <v>1150911</v>
      </c>
      <c r="AZ163" s="224">
        <v>122517</v>
      </c>
      <c r="BA163" s="224">
        <v>3088025</v>
      </c>
      <c r="BB163" s="224">
        <v>3435453</v>
      </c>
      <c r="BC163" s="225">
        <v>33270.97</v>
      </c>
      <c r="BD163" s="225">
        <v>21608.35</v>
      </c>
      <c r="BE163">
        <v>304.16000000000003</v>
      </c>
      <c r="BF163" s="225">
        <v>1544.64</v>
      </c>
      <c r="BG163" s="224">
        <v>557041</v>
      </c>
      <c r="BH163" s="224">
        <v>20499</v>
      </c>
      <c r="BI163" s="224">
        <v>428635</v>
      </c>
      <c r="BJ163" s="224">
        <v>698377</v>
      </c>
      <c r="BK163" s="224">
        <v>110103</v>
      </c>
      <c r="BL163" s="224">
        <v>167900</v>
      </c>
      <c r="BM163" s="224">
        <v>193900</v>
      </c>
      <c r="BN163" t="s">
        <v>597</v>
      </c>
      <c r="BO163" s="224">
        <v>180600</v>
      </c>
      <c r="BP163" s="224">
        <v>13700</v>
      </c>
      <c r="BQ163">
        <v>76</v>
      </c>
      <c r="BR163">
        <v>8</v>
      </c>
      <c r="BS163">
        <v>42</v>
      </c>
      <c r="BT163">
        <v>35</v>
      </c>
      <c r="BU163">
        <v>45</v>
      </c>
      <c r="BV163">
        <v>22</v>
      </c>
      <c r="BW163" s="224">
        <v>146800</v>
      </c>
      <c r="BX163" s="224">
        <v>17375</v>
      </c>
      <c r="BY163" s="224">
        <v>7875</v>
      </c>
      <c r="BZ163" s="224">
        <v>21750</v>
      </c>
      <c r="CA163">
        <v>18.5</v>
      </c>
      <c r="CB163">
        <v>19</v>
      </c>
      <c r="CC163">
        <v>18.2</v>
      </c>
      <c r="CD163">
        <v>72</v>
      </c>
      <c r="CE163">
        <v>68.599999999999994</v>
      </c>
      <c r="CF163">
        <v>7.2</v>
      </c>
      <c r="CG163">
        <v>7.4</v>
      </c>
      <c r="CH163">
        <v>67.3</v>
      </c>
      <c r="CI163">
        <v>66.8</v>
      </c>
      <c r="CJ163">
        <v>88.1</v>
      </c>
      <c r="CK163" t="s">
        <v>598</v>
      </c>
      <c r="CL163" t="s">
        <v>598</v>
      </c>
    </row>
    <row r="164" spans="1:90" ht="14.5">
      <c r="A164" t="s">
        <v>556</v>
      </c>
      <c r="B164" t="s">
        <v>701</v>
      </c>
      <c r="C164" t="s">
        <v>557</v>
      </c>
      <c r="D164" s="224">
        <v>2090313</v>
      </c>
      <c r="E164" s="224">
        <v>2457350</v>
      </c>
      <c r="F164" s="224">
        <v>1592582</v>
      </c>
      <c r="G164" s="224">
        <v>1798961</v>
      </c>
      <c r="H164" s="224">
        <v>497731</v>
      </c>
      <c r="I164" s="224">
        <v>658389</v>
      </c>
      <c r="J164" s="224">
        <v>60507</v>
      </c>
      <c r="K164" s="224">
        <v>82006</v>
      </c>
      <c r="L164">
        <v>9.6</v>
      </c>
      <c r="M164"/>
      <c r="N164"/>
      <c r="O164"/>
      <c r="P164"/>
      <c r="Q164" s="225">
        <v>10050</v>
      </c>
      <c r="R164" s="224">
        <v>8630</v>
      </c>
      <c r="S164" s="224">
        <v>567305</v>
      </c>
      <c r="T164">
        <v>21.4</v>
      </c>
      <c r="U164" s="224">
        <v>185684</v>
      </c>
      <c r="V164">
        <v>7</v>
      </c>
      <c r="W164" s="224">
        <v>253730</v>
      </c>
      <c r="X164">
        <v>4.4000000000000004</v>
      </c>
      <c r="Y164">
        <v>2.2999999999999998</v>
      </c>
      <c r="Z164">
        <v>3.4</v>
      </c>
      <c r="AA164" s="224">
        <v>29339</v>
      </c>
      <c r="AB164" s="224">
        <v>29225</v>
      </c>
      <c r="AC164" s="224">
        <v>58720</v>
      </c>
      <c r="AD164" s="224">
        <v>4925</v>
      </c>
      <c r="AE164" t="s">
        <v>597</v>
      </c>
      <c r="AF164" t="s">
        <v>597</v>
      </c>
      <c r="AG164" t="s">
        <v>597</v>
      </c>
      <c r="AH164" s="224">
        <v>1720</v>
      </c>
      <c r="AI164" t="s">
        <v>597</v>
      </c>
      <c r="AJ164" t="s">
        <v>597</v>
      </c>
      <c r="AK164" t="s">
        <v>597</v>
      </c>
      <c r="AL164" s="224">
        <v>18075</v>
      </c>
      <c r="AM164" s="224">
        <v>40645</v>
      </c>
      <c r="AN164"/>
      <c r="AO164" s="224">
        <v>1661229</v>
      </c>
      <c r="AP164" s="224">
        <v>1807205</v>
      </c>
      <c r="AQ164" t="s">
        <v>598</v>
      </c>
      <c r="AR164" t="s">
        <v>598</v>
      </c>
      <c r="AS164" s="224">
        <v>631730</v>
      </c>
      <c r="AT164" s="224">
        <v>846190</v>
      </c>
      <c r="AU164" s="224">
        <v>1349254</v>
      </c>
      <c r="AV164" s="224">
        <v>13802</v>
      </c>
      <c r="AW164" s="224">
        <v>431485</v>
      </c>
      <c r="AX164" s="224">
        <v>55305</v>
      </c>
      <c r="AY164" s="224">
        <v>488229</v>
      </c>
      <c r="AZ164" s="224">
        <v>57532</v>
      </c>
      <c r="BA164" s="224">
        <v>1305305</v>
      </c>
      <c r="BB164" s="224">
        <v>1406786</v>
      </c>
      <c r="BC164" s="225">
        <v>33247.03</v>
      </c>
      <c r="BD164" s="225">
        <v>19826.45</v>
      </c>
      <c r="BE164">
        <v>358.84</v>
      </c>
      <c r="BF164" s="225">
        <v>1369.24</v>
      </c>
      <c r="BG164" s="224">
        <v>340356</v>
      </c>
      <c r="BH164" s="224">
        <v>2837</v>
      </c>
      <c r="BI164" s="224">
        <v>233921</v>
      </c>
      <c r="BJ164" s="224">
        <v>373472</v>
      </c>
      <c r="BK164" s="224">
        <v>16738</v>
      </c>
      <c r="BL164" s="224">
        <v>76500</v>
      </c>
      <c r="BM164" s="224">
        <v>81600</v>
      </c>
      <c r="BN164" s="224">
        <v>4575</v>
      </c>
      <c r="BO164" s="224">
        <v>73400</v>
      </c>
      <c r="BP164" s="224">
        <v>8100</v>
      </c>
      <c r="BQ164"/>
      <c r="BR164"/>
      <c r="BS164"/>
      <c r="BT164"/>
      <c r="BU164"/>
      <c r="BV164"/>
      <c r="BW164" s="224">
        <v>58900</v>
      </c>
      <c r="BX164" s="224">
        <v>6500</v>
      </c>
      <c r="BY164" s="224">
        <v>3950</v>
      </c>
      <c r="BZ164" s="224">
        <v>12475</v>
      </c>
      <c r="CA164"/>
      <c r="CB164"/>
      <c r="CC164"/>
      <c r="CD164"/>
      <c r="CE164"/>
      <c r="CF164"/>
      <c r="CG164"/>
      <c r="CH164"/>
      <c r="CI164"/>
      <c r="CJ164"/>
      <c r="CK164" s="224">
        <v>17350</v>
      </c>
      <c r="CL164" s="224">
        <v>24400</v>
      </c>
    </row>
    <row r="165" spans="1:90" ht="14.5">
      <c r="A165" t="s">
        <v>558</v>
      </c>
      <c r="B165" t="s">
        <v>702</v>
      </c>
      <c r="C165" t="s">
        <v>559</v>
      </c>
      <c r="D165" s="224">
        <v>5661586</v>
      </c>
      <c r="E165" s="224">
        <v>5935128</v>
      </c>
      <c r="F165" s="224">
        <v>4363645</v>
      </c>
      <c r="G165" s="224">
        <v>4516430</v>
      </c>
      <c r="H165" s="224">
        <v>1297941</v>
      </c>
      <c r="I165" s="224">
        <v>1418698</v>
      </c>
      <c r="J165" s="224">
        <v>160883</v>
      </c>
      <c r="K165" s="224">
        <v>180320</v>
      </c>
      <c r="L165">
        <v>9</v>
      </c>
      <c r="M165"/>
      <c r="N165"/>
      <c r="O165"/>
      <c r="P165"/>
      <c r="Q165" s="225">
        <v>21595</v>
      </c>
      <c r="R165" s="224">
        <v>18880</v>
      </c>
      <c r="S165" s="224">
        <v>1440761</v>
      </c>
      <c r="T165">
        <v>19.399999999999999</v>
      </c>
      <c r="U165" s="224">
        <v>459886</v>
      </c>
      <c r="V165">
        <v>6.2</v>
      </c>
      <c r="W165" s="224">
        <v>668267</v>
      </c>
      <c r="X165">
        <v>4.4000000000000004</v>
      </c>
      <c r="Y165">
        <v>2.1</v>
      </c>
      <c r="Z165">
        <v>3</v>
      </c>
      <c r="AA165" s="224">
        <v>59961</v>
      </c>
      <c r="AB165" s="224">
        <v>61071</v>
      </c>
      <c r="AC165" s="224">
        <v>134270</v>
      </c>
      <c r="AD165" s="224">
        <v>14230</v>
      </c>
      <c r="AE165" t="s">
        <v>597</v>
      </c>
      <c r="AF165" t="s">
        <v>597</v>
      </c>
      <c r="AG165" t="s">
        <v>597</v>
      </c>
      <c r="AH165" s="224">
        <v>5485</v>
      </c>
      <c r="AI165" t="s">
        <v>597</v>
      </c>
      <c r="AJ165" t="s">
        <v>597</v>
      </c>
      <c r="AK165" t="s">
        <v>597</v>
      </c>
      <c r="AL165" s="224">
        <v>45725</v>
      </c>
      <c r="AM165" s="224">
        <v>88545</v>
      </c>
      <c r="AN165"/>
      <c r="AO165" s="224">
        <v>4042529</v>
      </c>
      <c r="AP165" s="224">
        <v>4445792</v>
      </c>
      <c r="AQ165" s="224">
        <v>3738613</v>
      </c>
      <c r="AR165" s="224">
        <v>7649315</v>
      </c>
      <c r="AS165" s="224">
        <v>1828243</v>
      </c>
      <c r="AT165" s="224">
        <v>1804275</v>
      </c>
      <c r="AU165" s="224">
        <v>3252444</v>
      </c>
      <c r="AV165" s="224">
        <v>32065</v>
      </c>
      <c r="AW165" s="224">
        <v>1089526</v>
      </c>
      <c r="AX165" s="224">
        <v>124543</v>
      </c>
      <c r="AY165" s="224">
        <v>1078977</v>
      </c>
      <c r="AZ165" s="224">
        <v>152605</v>
      </c>
      <c r="BA165" s="224">
        <v>3062034</v>
      </c>
      <c r="BB165" s="224">
        <v>3405049</v>
      </c>
      <c r="BC165" s="225">
        <v>37028.65</v>
      </c>
      <c r="BD165" s="225">
        <v>19333.830000000002</v>
      </c>
      <c r="BE165">
        <v>411.9</v>
      </c>
      <c r="BF165" s="225">
        <v>1359.57</v>
      </c>
      <c r="BG165" s="224">
        <v>765783</v>
      </c>
      <c r="BH165" s="224">
        <v>36118</v>
      </c>
      <c r="BI165" s="224">
        <v>426755</v>
      </c>
      <c r="BJ165" s="224">
        <v>672156</v>
      </c>
      <c r="BK165" s="224">
        <v>53938</v>
      </c>
      <c r="BL165" s="224">
        <v>174300</v>
      </c>
      <c r="BM165" s="224">
        <v>190700</v>
      </c>
      <c r="BN165" s="224">
        <v>11700</v>
      </c>
      <c r="BO165" s="224">
        <v>169400</v>
      </c>
      <c r="BP165" s="224">
        <v>20725</v>
      </c>
      <c r="BQ165"/>
      <c r="BR165"/>
      <c r="BS165"/>
      <c r="BT165"/>
      <c r="BU165"/>
      <c r="BV165"/>
      <c r="BW165" s="224">
        <v>141200</v>
      </c>
      <c r="BX165" s="224">
        <v>15225</v>
      </c>
      <c r="BY165" s="224">
        <v>8425</v>
      </c>
      <c r="BZ165" s="224">
        <v>25250</v>
      </c>
      <c r="CA165"/>
      <c r="CB165"/>
      <c r="CC165"/>
      <c r="CD165"/>
      <c r="CE165"/>
      <c r="CF165"/>
      <c r="CG165"/>
      <c r="CH165"/>
      <c r="CI165"/>
      <c r="CJ165"/>
      <c r="CK165" s="224">
        <v>62785</v>
      </c>
      <c r="CL165" s="224">
        <v>59910</v>
      </c>
    </row>
    <row r="166" spans="1:90" ht="14.5">
      <c r="A166" t="s">
        <v>560</v>
      </c>
      <c r="B166" t="s">
        <v>560</v>
      </c>
      <c r="C166" t="s">
        <v>561</v>
      </c>
      <c r="D166" s="224">
        <v>6863724</v>
      </c>
      <c r="E166" s="224">
        <v>7462177</v>
      </c>
      <c r="F166" s="224">
        <v>5225231</v>
      </c>
      <c r="G166" s="224">
        <v>5550734</v>
      </c>
      <c r="H166" s="224">
        <v>1638493</v>
      </c>
      <c r="I166" s="224">
        <v>1911443</v>
      </c>
      <c r="J166" s="224">
        <v>233057</v>
      </c>
      <c r="K166" s="224">
        <v>277982</v>
      </c>
      <c r="L166">
        <v>7.9</v>
      </c>
      <c r="M166"/>
      <c r="N166"/>
      <c r="O166"/>
      <c r="P166"/>
      <c r="Q166" s="225">
        <v>23540</v>
      </c>
      <c r="R166" s="224">
        <v>20650</v>
      </c>
      <c r="S166" s="224">
        <v>1453823</v>
      </c>
      <c r="T166">
        <v>16.2</v>
      </c>
      <c r="U166" s="224">
        <v>381368</v>
      </c>
      <c r="V166">
        <v>4.2</v>
      </c>
      <c r="W166" s="224">
        <v>712764</v>
      </c>
      <c r="X166">
        <v>4.4000000000000004</v>
      </c>
      <c r="Y166">
        <v>1.5</v>
      </c>
      <c r="Z166">
        <v>2.4</v>
      </c>
      <c r="AA166" s="224">
        <v>88571</v>
      </c>
      <c r="AB166" s="224">
        <v>93886</v>
      </c>
      <c r="AC166" s="224">
        <v>121615</v>
      </c>
      <c r="AD166" s="224">
        <v>12365</v>
      </c>
      <c r="AE166" t="s">
        <v>597</v>
      </c>
      <c r="AF166" t="s">
        <v>597</v>
      </c>
      <c r="AG166" t="s">
        <v>597</v>
      </c>
      <c r="AH166" s="224">
        <v>5730</v>
      </c>
      <c r="AI166" t="s">
        <v>597</v>
      </c>
      <c r="AJ166" t="s">
        <v>597</v>
      </c>
      <c r="AK166" t="s">
        <v>597</v>
      </c>
      <c r="AL166" s="224">
        <v>44240</v>
      </c>
      <c r="AM166" s="224">
        <v>77375</v>
      </c>
      <c r="AN166"/>
      <c r="AO166" s="224">
        <v>4659151</v>
      </c>
      <c r="AP166" s="224">
        <v>4962010</v>
      </c>
      <c r="AQ166" s="224">
        <v>4289268</v>
      </c>
      <c r="AR166" s="224">
        <v>8012627</v>
      </c>
      <c r="AS166" s="224">
        <v>1946129</v>
      </c>
      <c r="AT166" s="224">
        <v>2094320</v>
      </c>
      <c r="AU166" s="224">
        <v>3736303</v>
      </c>
      <c r="AV166" s="224">
        <v>48632</v>
      </c>
      <c r="AW166" s="224">
        <v>1278377</v>
      </c>
      <c r="AX166" s="224">
        <v>126700</v>
      </c>
      <c r="AY166" s="224">
        <v>1371224</v>
      </c>
      <c r="AZ166" s="224">
        <v>183717</v>
      </c>
      <c r="BA166" s="224">
        <v>3568917</v>
      </c>
      <c r="BB166" s="224">
        <v>3920020</v>
      </c>
      <c r="BC166" s="225">
        <v>42337</v>
      </c>
      <c r="BD166" s="225">
        <v>26455.97</v>
      </c>
      <c r="BE166">
        <v>359.37</v>
      </c>
      <c r="BF166" s="225">
        <v>1161.96</v>
      </c>
      <c r="BG166" s="224">
        <v>751928</v>
      </c>
      <c r="BH166">
        <v>857</v>
      </c>
      <c r="BI166" s="224">
        <v>372728</v>
      </c>
      <c r="BJ166" s="224">
        <v>559323</v>
      </c>
      <c r="BK166" s="224">
        <v>40666</v>
      </c>
      <c r="BL166" s="224">
        <v>206200</v>
      </c>
      <c r="BM166" s="224">
        <v>229500</v>
      </c>
      <c r="BN166" t="s">
        <v>597</v>
      </c>
      <c r="BO166" s="224">
        <v>212100</v>
      </c>
      <c r="BP166" s="224">
        <v>17425</v>
      </c>
      <c r="BQ166"/>
      <c r="BR166"/>
      <c r="BS166"/>
      <c r="BT166"/>
      <c r="BU166"/>
      <c r="BV166"/>
      <c r="BW166" s="224">
        <v>165500</v>
      </c>
      <c r="BX166" s="224">
        <v>19850</v>
      </c>
      <c r="BY166" s="224">
        <v>11075</v>
      </c>
      <c r="BZ166" s="224">
        <v>33800</v>
      </c>
      <c r="CA166"/>
      <c r="CB166"/>
      <c r="CC166"/>
      <c r="CD166"/>
      <c r="CE166"/>
      <c r="CF166"/>
      <c r="CG166"/>
      <c r="CH166"/>
      <c r="CI166"/>
      <c r="CJ166"/>
      <c r="CK166" s="224">
        <v>48265</v>
      </c>
      <c r="CL166" s="224">
        <v>51070</v>
      </c>
    </row>
    <row r="167" spans="1:90" ht="14.5">
      <c r="A167" t="s">
        <v>562</v>
      </c>
      <c r="B167" t="s">
        <v>562</v>
      </c>
      <c r="C167" t="s">
        <v>563</v>
      </c>
      <c r="D167" t="s">
        <v>598</v>
      </c>
      <c r="E167" s="224">
        <v>4811776</v>
      </c>
      <c r="F167" t="s">
        <v>598</v>
      </c>
      <c r="G167" s="224">
        <v>3440081</v>
      </c>
      <c r="H167" t="s">
        <v>598</v>
      </c>
      <c r="I167" s="224">
        <v>1371695</v>
      </c>
      <c r="J167" t="s">
        <v>598</v>
      </c>
      <c r="K167" s="224">
        <v>191170</v>
      </c>
      <c r="L167">
        <v>8.6</v>
      </c>
      <c r="M167">
        <v>80.3</v>
      </c>
      <c r="N167">
        <v>84.1</v>
      </c>
      <c r="O167">
        <v>62.4</v>
      </c>
      <c r="P167">
        <v>62.4</v>
      </c>
      <c r="Q167" t="s">
        <v>597</v>
      </c>
      <c r="R167" t="s">
        <v>597</v>
      </c>
      <c r="S167" s="224">
        <v>1058090</v>
      </c>
      <c r="T167">
        <v>18.600000000000001</v>
      </c>
      <c r="U167" s="224">
        <v>289085</v>
      </c>
      <c r="V167">
        <v>5.0999999999999996</v>
      </c>
      <c r="W167" s="224">
        <v>490955</v>
      </c>
      <c r="X167">
        <v>4.7</v>
      </c>
      <c r="Y167">
        <v>1.7</v>
      </c>
      <c r="Z167">
        <v>2.7</v>
      </c>
      <c r="AA167" s="224">
        <v>54257</v>
      </c>
      <c r="AB167" s="224">
        <v>56228</v>
      </c>
      <c r="AC167" t="s">
        <v>598</v>
      </c>
      <c r="AD167" t="s">
        <v>598</v>
      </c>
      <c r="AE167" t="s">
        <v>597</v>
      </c>
      <c r="AF167" t="s">
        <v>597</v>
      </c>
      <c r="AG167" t="s">
        <v>597</v>
      </c>
      <c r="AH167" t="s">
        <v>598</v>
      </c>
      <c r="AI167" t="s">
        <v>597</v>
      </c>
      <c r="AJ167" t="s">
        <v>597</v>
      </c>
      <c r="AK167" t="s">
        <v>597</v>
      </c>
      <c r="AL167" t="s">
        <v>598</v>
      </c>
      <c r="AM167" t="s">
        <v>598</v>
      </c>
      <c r="AN167">
        <v>66.599999999999994</v>
      </c>
      <c r="AO167" s="224">
        <v>3120771</v>
      </c>
      <c r="AP167" s="224">
        <v>3305676</v>
      </c>
      <c r="AQ167" t="s">
        <v>598</v>
      </c>
      <c r="AR167" t="s">
        <v>598</v>
      </c>
      <c r="AS167" s="224">
        <v>1311239</v>
      </c>
      <c r="AT167" s="224">
        <v>1429023</v>
      </c>
      <c r="AU167" s="224">
        <v>2530383</v>
      </c>
      <c r="AV167" s="224">
        <v>44018</v>
      </c>
      <c r="AW167" s="224">
        <v>818923</v>
      </c>
      <c r="AX167" s="224">
        <v>89006</v>
      </c>
      <c r="AY167" s="224">
        <v>910016</v>
      </c>
      <c r="AZ167" s="224">
        <v>132466</v>
      </c>
      <c r="BA167" s="224">
        <v>2447276</v>
      </c>
      <c r="BB167" s="224">
        <v>2662849</v>
      </c>
      <c r="BC167" t="s">
        <v>598</v>
      </c>
      <c r="BD167" t="s">
        <v>598</v>
      </c>
      <c r="BE167">
        <v>393.96</v>
      </c>
      <c r="BF167" s="225">
        <v>1106.68</v>
      </c>
      <c r="BG167" s="224">
        <v>525833</v>
      </c>
      <c r="BH167" s="224">
        <v>4657</v>
      </c>
      <c r="BI167" s="224">
        <v>251001</v>
      </c>
      <c r="BJ167" s="224">
        <v>526214</v>
      </c>
      <c r="BK167" s="224">
        <v>66804</v>
      </c>
      <c r="BL167" s="224">
        <v>145000</v>
      </c>
      <c r="BM167" s="224">
        <v>158900</v>
      </c>
      <c r="BN167" s="224">
        <v>9950</v>
      </c>
      <c r="BO167" s="224">
        <v>149200</v>
      </c>
      <c r="BP167" s="224">
        <v>9285</v>
      </c>
      <c r="BQ167">
        <v>78</v>
      </c>
      <c r="BR167">
        <v>7</v>
      </c>
      <c r="BS167">
        <v>21</v>
      </c>
      <c r="BT167">
        <v>43</v>
      </c>
      <c r="BU167">
        <v>43</v>
      </c>
      <c r="BV167">
        <v>74</v>
      </c>
      <c r="BW167" s="224">
        <v>114500</v>
      </c>
      <c r="BX167" s="224">
        <v>13500</v>
      </c>
      <c r="BY167" s="224">
        <v>6800</v>
      </c>
      <c r="BZ167" s="224">
        <v>24100</v>
      </c>
      <c r="CA167">
        <v>19.100000000000001</v>
      </c>
      <c r="CB167">
        <v>19.600000000000001</v>
      </c>
      <c r="CC167">
        <v>18.7</v>
      </c>
      <c r="CD167">
        <v>78.5</v>
      </c>
      <c r="CE167">
        <v>74.2</v>
      </c>
      <c r="CF167">
        <v>7.2</v>
      </c>
      <c r="CG167">
        <v>7.4</v>
      </c>
      <c r="CH167">
        <v>69.900000000000006</v>
      </c>
      <c r="CI167">
        <v>71.8</v>
      </c>
      <c r="CJ167">
        <v>86.1</v>
      </c>
      <c r="CK167" s="224">
        <v>38415</v>
      </c>
      <c r="CL167" s="224">
        <v>39240</v>
      </c>
    </row>
    <row r="168" spans="1:90" ht="14.5">
      <c r="A168" t="s">
        <v>564</v>
      </c>
      <c r="B168" t="s">
        <v>564</v>
      </c>
      <c r="C168" t="s">
        <v>565</v>
      </c>
      <c r="D168" s="224">
        <v>4493926</v>
      </c>
      <c r="E168" s="224">
        <v>4876352</v>
      </c>
      <c r="F168" s="224">
        <v>3448278</v>
      </c>
      <c r="G168" s="224">
        <v>3688995</v>
      </c>
      <c r="H168" s="224">
        <v>1045648</v>
      </c>
      <c r="I168" s="224">
        <v>1187357</v>
      </c>
      <c r="J168" s="224">
        <v>136232</v>
      </c>
      <c r="K168" s="224">
        <v>163498</v>
      </c>
      <c r="L168">
        <v>8.8000000000000007</v>
      </c>
      <c r="M168">
        <v>78.7</v>
      </c>
      <c r="N168">
        <v>82.8</v>
      </c>
      <c r="O168">
        <v>60.2</v>
      </c>
      <c r="P168">
        <v>59.6</v>
      </c>
      <c r="Q168" s="225">
        <v>14770</v>
      </c>
      <c r="R168" s="224">
        <v>12945</v>
      </c>
      <c r="S168" s="224">
        <v>1077477</v>
      </c>
      <c r="T168">
        <v>18.100000000000001</v>
      </c>
      <c r="U168" s="224">
        <v>337937</v>
      </c>
      <c r="V168">
        <v>5.7</v>
      </c>
      <c r="W168" s="224">
        <v>521170</v>
      </c>
      <c r="X168">
        <v>4.4000000000000004</v>
      </c>
      <c r="Y168">
        <v>2</v>
      </c>
      <c r="Z168">
        <v>2.9</v>
      </c>
      <c r="AA168" s="224">
        <v>51185</v>
      </c>
      <c r="AB168" s="224">
        <v>53393</v>
      </c>
      <c r="AC168" s="224">
        <v>91915</v>
      </c>
      <c r="AD168" s="224">
        <v>9450</v>
      </c>
      <c r="AE168" t="s">
        <v>597</v>
      </c>
      <c r="AF168" t="s">
        <v>597</v>
      </c>
      <c r="AG168" t="s">
        <v>597</v>
      </c>
      <c r="AH168" s="224">
        <v>4875</v>
      </c>
      <c r="AI168" t="s">
        <v>597</v>
      </c>
      <c r="AJ168" t="s">
        <v>597</v>
      </c>
      <c r="AK168" t="s">
        <v>597</v>
      </c>
      <c r="AL168" s="224">
        <v>29710</v>
      </c>
      <c r="AM168" s="224">
        <v>62205</v>
      </c>
      <c r="AN168">
        <v>66.8</v>
      </c>
      <c r="AO168" s="224">
        <v>3046723</v>
      </c>
      <c r="AP168" s="224">
        <v>3304376</v>
      </c>
      <c r="AQ168" t="s">
        <v>598</v>
      </c>
      <c r="AR168" t="s">
        <v>598</v>
      </c>
      <c r="AS168" s="224">
        <v>1282799</v>
      </c>
      <c r="AT168" s="224">
        <v>1424646</v>
      </c>
      <c r="AU168" s="224">
        <v>2447294</v>
      </c>
      <c r="AV168" s="224">
        <v>19851</v>
      </c>
      <c r="AW168" s="224">
        <v>743433</v>
      </c>
      <c r="AX168" s="224">
        <v>86270</v>
      </c>
      <c r="AY168" s="224">
        <v>950451</v>
      </c>
      <c r="AZ168" s="224">
        <v>96918</v>
      </c>
      <c r="BA168" s="224">
        <v>2291946</v>
      </c>
      <c r="BB168" s="224">
        <v>2544212</v>
      </c>
      <c r="BC168" s="225">
        <v>38341.67</v>
      </c>
      <c r="BD168" s="225">
        <v>22587.91</v>
      </c>
      <c r="BE168">
        <v>353.12</v>
      </c>
      <c r="BF168" s="225">
        <v>1272.5</v>
      </c>
      <c r="BG168" s="224">
        <v>542814</v>
      </c>
      <c r="BH168" s="224">
        <v>2122</v>
      </c>
      <c r="BI168" s="224">
        <v>261282</v>
      </c>
      <c r="BJ168" s="224">
        <v>423050</v>
      </c>
      <c r="BK168" s="224">
        <v>37598</v>
      </c>
      <c r="BL168" s="224">
        <v>147900</v>
      </c>
      <c r="BM168" s="224">
        <v>159800</v>
      </c>
      <c r="BN168" s="224">
        <v>10375</v>
      </c>
      <c r="BO168" s="224">
        <v>150300</v>
      </c>
      <c r="BP168" s="224">
        <v>10575</v>
      </c>
      <c r="BQ168">
        <v>80</v>
      </c>
      <c r="BR168">
        <v>5</v>
      </c>
      <c r="BS168">
        <v>25</v>
      </c>
      <c r="BT168">
        <v>42</v>
      </c>
      <c r="BU168">
        <v>43</v>
      </c>
      <c r="BV168">
        <v>60</v>
      </c>
      <c r="BW168" s="224">
        <v>119000</v>
      </c>
      <c r="BX168" s="224">
        <v>12650</v>
      </c>
      <c r="BY168" s="224">
        <v>6600</v>
      </c>
      <c r="BZ168" s="224">
        <v>21600</v>
      </c>
      <c r="CA168">
        <v>19.2</v>
      </c>
      <c r="CB168">
        <v>19.7</v>
      </c>
      <c r="CC168">
        <v>18.8</v>
      </c>
      <c r="CD168">
        <v>77.400000000000006</v>
      </c>
      <c r="CE168">
        <v>74.3</v>
      </c>
      <c r="CF168">
        <v>7.4</v>
      </c>
      <c r="CG168">
        <v>7.6</v>
      </c>
      <c r="CH168">
        <v>72.2</v>
      </c>
      <c r="CI168">
        <v>72.7</v>
      </c>
      <c r="CJ168">
        <v>77.099999999999994</v>
      </c>
      <c r="CK168" s="224">
        <v>31460</v>
      </c>
      <c r="CL168" s="224">
        <v>31265</v>
      </c>
    </row>
    <row r="169" spans="1:90" ht="14.5">
      <c r="A169" t="s">
        <v>566</v>
      </c>
      <c r="B169" t="s">
        <v>566</v>
      </c>
      <c r="C169" t="s">
        <v>567</v>
      </c>
      <c r="D169" s="224">
        <v>4238339</v>
      </c>
      <c r="E169" s="224">
        <v>4511071</v>
      </c>
      <c r="F169" s="224">
        <v>3267498</v>
      </c>
      <c r="G169" s="224">
        <v>3392342</v>
      </c>
      <c r="H169" s="224">
        <v>970841</v>
      </c>
      <c r="I169" s="224">
        <v>1118729</v>
      </c>
      <c r="J169" s="224">
        <v>122473</v>
      </c>
      <c r="K169" s="224">
        <v>145784</v>
      </c>
      <c r="L169">
        <v>8.6</v>
      </c>
      <c r="M169">
        <v>78.3</v>
      </c>
      <c r="N169">
        <v>82.3</v>
      </c>
      <c r="O169">
        <v>58.2</v>
      </c>
      <c r="P169">
        <v>58.6</v>
      </c>
      <c r="Q169" s="225">
        <v>15790</v>
      </c>
      <c r="R169" s="224">
        <v>13780</v>
      </c>
      <c r="S169" s="224">
        <v>1021322</v>
      </c>
      <c r="T169">
        <v>18.600000000000001</v>
      </c>
      <c r="U169" s="224">
        <v>318267</v>
      </c>
      <c r="V169">
        <v>5.8</v>
      </c>
      <c r="W169" s="224">
        <v>471994</v>
      </c>
      <c r="X169">
        <v>4.3</v>
      </c>
      <c r="Y169">
        <v>1.9</v>
      </c>
      <c r="Z169">
        <v>2.9</v>
      </c>
      <c r="AA169" s="224">
        <v>48327</v>
      </c>
      <c r="AB169" s="224">
        <v>50791</v>
      </c>
      <c r="AC169" s="224">
        <v>86730</v>
      </c>
      <c r="AD169" s="224">
        <v>10745</v>
      </c>
      <c r="AE169" t="s">
        <v>597</v>
      </c>
      <c r="AF169" t="s">
        <v>597</v>
      </c>
      <c r="AG169" t="s">
        <v>597</v>
      </c>
      <c r="AH169" s="224">
        <v>3905</v>
      </c>
      <c r="AI169" t="s">
        <v>597</v>
      </c>
      <c r="AJ169" t="s">
        <v>597</v>
      </c>
      <c r="AK169" t="s">
        <v>597</v>
      </c>
      <c r="AL169" s="224">
        <v>30000</v>
      </c>
      <c r="AM169" s="224">
        <v>56730</v>
      </c>
      <c r="AN169">
        <v>66.5</v>
      </c>
      <c r="AO169" s="224">
        <v>2927224</v>
      </c>
      <c r="AP169" s="224">
        <v>3228517</v>
      </c>
      <c r="AQ169" s="224">
        <v>2687519</v>
      </c>
      <c r="AR169" s="224">
        <v>5485286</v>
      </c>
      <c r="AS169" s="224">
        <v>1239249</v>
      </c>
      <c r="AT169" s="224">
        <v>1340886</v>
      </c>
      <c r="AU169" s="224">
        <v>2288258</v>
      </c>
      <c r="AV169" s="224">
        <v>28058</v>
      </c>
      <c r="AW169" s="224">
        <v>759024</v>
      </c>
      <c r="AX169" s="224">
        <v>109387</v>
      </c>
      <c r="AY169" s="224">
        <v>855384</v>
      </c>
      <c r="AZ169" s="224">
        <v>125666</v>
      </c>
      <c r="BA169" s="224">
        <v>2166418</v>
      </c>
      <c r="BB169" s="224">
        <v>2413924</v>
      </c>
      <c r="BC169" s="225">
        <v>37815.730000000003</v>
      </c>
      <c r="BD169" s="225">
        <v>22553.360000000001</v>
      </c>
      <c r="BE169">
        <v>373.58</v>
      </c>
      <c r="BF169" s="225">
        <v>1296.3599999999999</v>
      </c>
      <c r="BG169" s="224">
        <v>564558</v>
      </c>
      <c r="BH169" s="224">
        <v>2176</v>
      </c>
      <c r="BI169" s="224">
        <v>257990</v>
      </c>
      <c r="BJ169" s="224">
        <v>482430</v>
      </c>
      <c r="BK169" s="224">
        <v>60838</v>
      </c>
      <c r="BL169" s="224">
        <v>133100</v>
      </c>
      <c r="BM169" s="224">
        <v>144500</v>
      </c>
      <c r="BN169" t="s">
        <v>597</v>
      </c>
      <c r="BO169" s="224">
        <v>129900</v>
      </c>
      <c r="BP169" t="s">
        <v>598</v>
      </c>
      <c r="BQ169">
        <v>80</v>
      </c>
      <c r="BR169">
        <v>3</v>
      </c>
      <c r="BS169">
        <v>17</v>
      </c>
      <c r="BT169">
        <v>42</v>
      </c>
      <c r="BU169">
        <v>43</v>
      </c>
      <c r="BV169">
        <v>74</v>
      </c>
      <c r="BW169" s="224">
        <v>106100</v>
      </c>
      <c r="BX169" s="224">
        <v>12700</v>
      </c>
      <c r="BY169" s="224">
        <v>5825</v>
      </c>
      <c r="BZ169" s="224">
        <v>20500</v>
      </c>
      <c r="CA169">
        <v>19.2</v>
      </c>
      <c r="CB169">
        <v>19.899999999999999</v>
      </c>
      <c r="CC169">
        <v>18.8</v>
      </c>
      <c r="CD169">
        <v>78.400000000000006</v>
      </c>
      <c r="CE169">
        <v>74.599999999999994</v>
      </c>
      <c r="CF169">
        <v>7.3</v>
      </c>
      <c r="CG169">
        <v>7.6</v>
      </c>
      <c r="CH169">
        <v>71.5</v>
      </c>
      <c r="CI169">
        <v>71.3</v>
      </c>
      <c r="CJ169">
        <v>78.5</v>
      </c>
      <c r="CK169" s="224">
        <v>47260</v>
      </c>
      <c r="CL169" s="224">
        <v>49595</v>
      </c>
    </row>
    <row r="172" spans="1:90">
      <c r="A172" s="112"/>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9E72B-DE99-497B-A9A6-3331492EB426}">
  <sheetPr codeName="Sheet11"/>
  <dimension ref="A1:AN172"/>
  <sheetViews>
    <sheetView workbookViewId="0">
      <selection activeCell="N7" sqref="N7"/>
    </sheetView>
  </sheetViews>
  <sheetFormatPr defaultColWidth="8.7265625" defaultRowHeight="14"/>
  <cols>
    <col min="1" max="1" width="33.81640625" style="42" bestFit="1" customWidth="1"/>
    <col min="2" max="2" width="41.81640625" style="42" bestFit="1" customWidth="1"/>
    <col min="3" max="3" width="9.81640625" style="42" bestFit="1" customWidth="1"/>
    <col min="4" max="4" width="11.36328125" style="42" bestFit="1" customWidth="1"/>
    <col min="5" max="5" width="10.453125" style="42" bestFit="1" customWidth="1"/>
    <col min="6" max="6" width="11.81640625" style="42" bestFit="1" customWidth="1"/>
    <col min="7" max="7" width="14.81640625" style="42" customWidth="1"/>
    <col min="8" max="9" width="12.90625" style="42" bestFit="1" customWidth="1"/>
    <col min="10" max="10" width="11.36328125" style="42" bestFit="1" customWidth="1"/>
    <col min="11" max="11" width="11.08984375" style="42" bestFit="1" customWidth="1"/>
    <col min="12" max="12" width="11.26953125" style="42" customWidth="1"/>
    <col min="13" max="13" width="11.6328125" style="31" bestFit="1" customWidth="1"/>
    <col min="14" max="14" width="9.08984375" style="31" bestFit="1" customWidth="1"/>
    <col min="15" max="15" width="10.54296875" style="31" bestFit="1" customWidth="1"/>
    <col min="16" max="16" width="10.453125" style="31" bestFit="1" customWidth="1"/>
    <col min="17" max="17" width="9.90625" style="31" bestFit="1" customWidth="1"/>
    <col min="18" max="18" width="10" style="31" bestFit="1" customWidth="1"/>
    <col min="19" max="22" width="9.08984375" style="31" bestFit="1" customWidth="1"/>
    <col min="23" max="23" width="9.6328125" style="115" bestFit="1" customWidth="1"/>
    <col min="24" max="24" width="9.08984375" style="31" bestFit="1" customWidth="1"/>
    <col min="25" max="25" width="10.81640625" style="31" bestFit="1" customWidth="1"/>
    <col min="26" max="26" width="8.81640625" style="31" bestFit="1" customWidth="1"/>
    <col min="27" max="27" width="10.81640625" style="31" bestFit="1" customWidth="1"/>
    <col min="28" max="30" width="8.81640625" style="31" bestFit="1" customWidth="1"/>
    <col min="31" max="31" width="9.08984375" style="31" bestFit="1" customWidth="1"/>
    <col min="32" max="32" width="12" style="31" bestFit="1" customWidth="1"/>
    <col min="33" max="33" width="10.6328125" style="31" customWidth="1"/>
    <col min="34" max="39" width="8.81640625" style="31" bestFit="1" customWidth="1"/>
    <col min="40" max="40" width="9.08984375" style="31" bestFit="1" customWidth="1"/>
    <col min="41" max="16384" width="8.7265625" style="42"/>
  </cols>
  <sheetData>
    <row r="1" spans="1:40" s="65" customFormat="1" ht="98">
      <c r="A1" s="65" t="s">
        <v>86</v>
      </c>
      <c r="B1" s="65" t="s">
        <v>87</v>
      </c>
      <c r="C1" s="65" t="s">
        <v>88</v>
      </c>
      <c r="D1" s="65" t="s">
        <v>708</v>
      </c>
      <c r="E1" s="65" t="s">
        <v>709</v>
      </c>
      <c r="F1" s="65" t="s">
        <v>569</v>
      </c>
      <c r="G1" s="65" t="s">
        <v>570</v>
      </c>
      <c r="H1" s="65" t="s">
        <v>571</v>
      </c>
      <c r="I1" s="65" t="s">
        <v>572</v>
      </c>
      <c r="J1" s="65" t="s">
        <v>710</v>
      </c>
      <c r="K1" s="65" t="s">
        <v>711</v>
      </c>
      <c r="L1" s="65" t="s">
        <v>712</v>
      </c>
      <c r="M1" s="65" t="s">
        <v>601</v>
      </c>
      <c r="N1" s="56" t="s">
        <v>673</v>
      </c>
      <c r="O1" s="56" t="s">
        <v>686</v>
      </c>
      <c r="P1" s="56" t="s">
        <v>687</v>
      </c>
      <c r="Q1" s="56" t="s">
        <v>676</v>
      </c>
      <c r="R1" s="56" t="s">
        <v>677</v>
      </c>
      <c r="S1" s="113" t="s">
        <v>599</v>
      </c>
      <c r="T1" s="113" t="s">
        <v>600</v>
      </c>
      <c r="U1" s="56" t="s">
        <v>685</v>
      </c>
      <c r="V1" s="56" t="s">
        <v>688</v>
      </c>
      <c r="W1" s="114" t="s">
        <v>602</v>
      </c>
      <c r="X1" s="56" t="s">
        <v>630</v>
      </c>
      <c r="Y1" s="56" t="s">
        <v>648</v>
      </c>
      <c r="Z1" s="56" t="s">
        <v>633</v>
      </c>
      <c r="AA1" s="56" t="s">
        <v>645</v>
      </c>
      <c r="AB1" s="56" t="s">
        <v>636</v>
      </c>
      <c r="AC1" s="56" t="s">
        <v>638</v>
      </c>
      <c r="AD1" s="56" t="s">
        <v>639</v>
      </c>
      <c r="AE1" s="56" t="s">
        <v>602</v>
      </c>
      <c r="AF1" s="56" t="s">
        <v>631</v>
      </c>
      <c r="AG1" s="56" t="s">
        <v>628</v>
      </c>
      <c r="AH1" s="56" t="s">
        <v>624</v>
      </c>
      <c r="AI1" s="56" t="s">
        <v>625</v>
      </c>
      <c r="AJ1" s="56" t="s">
        <v>626</v>
      </c>
      <c r="AK1" s="56" t="s">
        <v>627</v>
      </c>
      <c r="AL1" s="56" t="s">
        <v>614</v>
      </c>
      <c r="AM1" s="56" t="s">
        <v>621</v>
      </c>
      <c r="AN1" s="56" t="s">
        <v>713</v>
      </c>
    </row>
    <row r="2" spans="1:40">
      <c r="A2" s="42" t="s">
        <v>86</v>
      </c>
      <c r="B2" s="42" t="s">
        <v>87</v>
      </c>
      <c r="C2" s="42" t="s">
        <v>88</v>
      </c>
      <c r="D2" s="42" t="s">
        <v>584</v>
      </c>
      <c r="E2" s="42" t="s">
        <v>584</v>
      </c>
      <c r="F2" s="42" t="s">
        <v>584</v>
      </c>
      <c r="G2" s="42" t="s">
        <v>584</v>
      </c>
      <c r="H2" s="42" t="s">
        <v>584</v>
      </c>
      <c r="I2" s="42" t="s">
        <v>584</v>
      </c>
      <c r="J2" s="42" t="s">
        <v>584</v>
      </c>
      <c r="K2" s="42" t="s">
        <v>584</v>
      </c>
      <c r="L2" s="42" t="s">
        <v>584</v>
      </c>
      <c r="M2" s="42" t="s">
        <v>584</v>
      </c>
      <c r="N2" s="42" t="s">
        <v>584</v>
      </c>
      <c r="O2" s="42" t="s">
        <v>584</v>
      </c>
      <c r="P2" s="42" t="s">
        <v>584</v>
      </c>
      <c r="Q2" s="42" t="s">
        <v>584</v>
      </c>
      <c r="R2" s="42" t="s">
        <v>584</v>
      </c>
      <c r="S2" s="42" t="s">
        <v>584</v>
      </c>
      <c r="T2" s="42" t="s">
        <v>584</v>
      </c>
      <c r="U2" s="42" t="s">
        <v>584</v>
      </c>
      <c r="V2" s="42" t="s">
        <v>584</v>
      </c>
      <c r="W2" s="42" t="s">
        <v>584</v>
      </c>
      <c r="X2" s="42" t="s">
        <v>584</v>
      </c>
      <c r="Y2" s="42" t="s">
        <v>584</v>
      </c>
      <c r="Z2" s="42" t="s">
        <v>584</v>
      </c>
      <c r="AA2" s="42" t="s">
        <v>584</v>
      </c>
      <c r="AB2" s="42" t="s">
        <v>584</v>
      </c>
      <c r="AC2" s="42" t="s">
        <v>584</v>
      </c>
      <c r="AD2" s="42" t="s">
        <v>584</v>
      </c>
      <c r="AE2" s="42" t="s">
        <v>584</v>
      </c>
      <c r="AF2" s="42" t="s">
        <v>584</v>
      </c>
      <c r="AG2" s="42" t="s">
        <v>584</v>
      </c>
      <c r="AH2" s="42" t="s">
        <v>584</v>
      </c>
      <c r="AI2" s="42" t="s">
        <v>584</v>
      </c>
      <c r="AJ2" s="42" t="s">
        <v>584</v>
      </c>
      <c r="AK2" s="42" t="s">
        <v>584</v>
      </c>
      <c r="AL2" s="42" t="s">
        <v>584</v>
      </c>
      <c r="AM2" s="42" t="s">
        <v>584</v>
      </c>
      <c r="AN2" s="42" t="s">
        <v>584</v>
      </c>
    </row>
    <row r="3" spans="1:40">
      <c r="A3" s="42" t="s">
        <v>86</v>
      </c>
      <c r="B3" s="42" t="s">
        <v>87</v>
      </c>
      <c r="C3" s="42" t="s">
        <v>88</v>
      </c>
      <c r="D3" s="42" t="s">
        <v>586</v>
      </c>
      <c r="E3" s="42" t="s">
        <v>586</v>
      </c>
      <c r="F3" s="42" t="s">
        <v>586</v>
      </c>
      <c r="G3" s="42" t="s">
        <v>586</v>
      </c>
      <c r="H3" s="42" t="s">
        <v>586</v>
      </c>
      <c r="I3" s="42" t="s">
        <v>586</v>
      </c>
      <c r="J3" s="42" t="s">
        <v>586</v>
      </c>
      <c r="K3" s="42" t="s">
        <v>586</v>
      </c>
      <c r="L3" s="42" t="s">
        <v>586</v>
      </c>
      <c r="M3" s="31" t="s">
        <v>589</v>
      </c>
      <c r="AH3" s="31" t="s">
        <v>603</v>
      </c>
      <c r="AI3" s="31" t="s">
        <v>603</v>
      </c>
      <c r="AJ3" s="31" t="s">
        <v>603</v>
      </c>
      <c r="AK3" s="31" t="s">
        <v>603</v>
      </c>
      <c r="AL3" s="31" t="s">
        <v>603</v>
      </c>
      <c r="AM3" s="31" t="s">
        <v>603</v>
      </c>
    </row>
    <row r="4" spans="1:40">
      <c r="A4" s="42" t="s">
        <v>86</v>
      </c>
      <c r="B4" s="42" t="s">
        <v>87</v>
      </c>
      <c r="C4" s="42" t="s">
        <v>88</v>
      </c>
      <c r="D4" s="42" t="s">
        <v>590</v>
      </c>
      <c r="E4" s="42" t="s">
        <v>590</v>
      </c>
      <c r="F4" s="42" t="s">
        <v>590</v>
      </c>
      <c r="G4" s="42" t="s">
        <v>590</v>
      </c>
      <c r="H4" s="42" t="s">
        <v>590</v>
      </c>
      <c r="I4" s="42" t="s">
        <v>590</v>
      </c>
      <c r="J4" s="42" t="s">
        <v>590</v>
      </c>
      <c r="K4" s="42" t="s">
        <v>590</v>
      </c>
      <c r="L4" s="42" t="s">
        <v>590</v>
      </c>
      <c r="M4" s="31" t="s">
        <v>590</v>
      </c>
      <c r="AH4" s="31" t="s">
        <v>604</v>
      </c>
      <c r="AI4" s="31" t="s">
        <v>604</v>
      </c>
      <c r="AJ4" s="31" t="s">
        <v>604</v>
      </c>
      <c r="AK4" s="31" t="s">
        <v>604</v>
      </c>
      <c r="AL4" s="31" t="s">
        <v>616</v>
      </c>
      <c r="AM4" s="31" t="s">
        <v>604</v>
      </c>
    </row>
    <row r="5" spans="1:40">
      <c r="A5" s="42" t="s">
        <v>86</v>
      </c>
      <c r="B5" s="42" t="s">
        <v>87</v>
      </c>
      <c r="C5" s="42" t="s">
        <v>88</v>
      </c>
      <c r="D5" s="42">
        <v>2024</v>
      </c>
      <c r="E5" s="42">
        <v>2024</v>
      </c>
      <c r="F5" s="42" t="s">
        <v>592</v>
      </c>
      <c r="G5" s="42" t="s">
        <v>592</v>
      </c>
      <c r="H5" s="42" t="s">
        <v>592</v>
      </c>
      <c r="I5" s="42" t="s">
        <v>592</v>
      </c>
      <c r="J5" s="42">
        <v>2014</v>
      </c>
      <c r="K5" s="42">
        <v>2014</v>
      </c>
      <c r="L5" s="42" t="s">
        <v>594</v>
      </c>
      <c r="AH5" s="31" t="s">
        <v>588</v>
      </c>
      <c r="AI5" s="31" t="s">
        <v>588</v>
      </c>
      <c r="AJ5" s="31" t="s">
        <v>588</v>
      </c>
      <c r="AK5" s="31" t="s">
        <v>588</v>
      </c>
      <c r="AL5" s="31" t="s">
        <v>615</v>
      </c>
      <c r="AM5" s="31" t="s">
        <v>588</v>
      </c>
    </row>
    <row r="6" spans="1:40">
      <c r="A6" s="42" t="s">
        <v>86</v>
      </c>
      <c r="B6" s="42" t="s">
        <v>87</v>
      </c>
      <c r="C6" s="42" t="s">
        <v>88</v>
      </c>
      <c r="D6" s="42" t="s">
        <v>584</v>
      </c>
      <c r="E6" s="42" t="s">
        <v>584</v>
      </c>
      <c r="F6" s="42" t="s">
        <v>584</v>
      </c>
      <c r="G6" s="42" t="s">
        <v>584</v>
      </c>
      <c r="H6" s="42" t="s">
        <v>584</v>
      </c>
      <c r="I6" s="42" t="s">
        <v>584</v>
      </c>
      <c r="J6" s="42" t="s">
        <v>584</v>
      </c>
      <c r="K6" s="42" t="s">
        <v>584</v>
      </c>
      <c r="L6" s="42" t="s">
        <v>584</v>
      </c>
      <c r="M6" s="42" t="s">
        <v>584</v>
      </c>
      <c r="N6" s="42" t="s">
        <v>584</v>
      </c>
      <c r="O6" s="42" t="s">
        <v>584</v>
      </c>
      <c r="P6" s="42" t="s">
        <v>584</v>
      </c>
      <c r="Q6" s="42" t="s">
        <v>584</v>
      </c>
      <c r="R6" s="42" t="s">
        <v>584</v>
      </c>
      <c r="S6" s="42" t="s">
        <v>584</v>
      </c>
      <c r="T6" s="42" t="s">
        <v>584</v>
      </c>
      <c r="U6" s="42" t="s">
        <v>584</v>
      </c>
      <c r="V6" s="42" t="s">
        <v>584</v>
      </c>
      <c r="W6" s="42" t="s">
        <v>584</v>
      </c>
      <c r="X6" s="42" t="s">
        <v>584</v>
      </c>
      <c r="Y6" s="42" t="s">
        <v>584</v>
      </c>
      <c r="Z6" s="42" t="s">
        <v>584</v>
      </c>
      <c r="AA6" s="42" t="s">
        <v>584</v>
      </c>
      <c r="AB6" s="42" t="s">
        <v>584</v>
      </c>
      <c r="AC6" s="42" t="s">
        <v>584</v>
      </c>
      <c r="AD6" s="42" t="s">
        <v>584</v>
      </c>
      <c r="AE6" s="42" t="s">
        <v>584</v>
      </c>
      <c r="AF6" s="42" t="s">
        <v>584</v>
      </c>
      <c r="AG6" s="42" t="s">
        <v>584</v>
      </c>
      <c r="AH6" s="42" t="s">
        <v>584</v>
      </c>
      <c r="AI6" s="42" t="s">
        <v>584</v>
      </c>
      <c r="AJ6" s="42" t="s">
        <v>584</v>
      </c>
      <c r="AK6" s="42" t="s">
        <v>584</v>
      </c>
      <c r="AL6" s="42" t="s">
        <v>584</v>
      </c>
      <c r="AM6" s="42" t="s">
        <v>584</v>
      </c>
      <c r="AN6" s="42" t="s">
        <v>584</v>
      </c>
    </row>
    <row r="7" spans="1:40">
      <c r="A7" s="42" t="s">
        <v>89</v>
      </c>
      <c r="B7" s="42" t="s">
        <v>90</v>
      </c>
      <c r="C7" s="42" t="s">
        <v>91</v>
      </c>
      <c r="D7" s="116">
        <f>Datasheet!G7/Datasheet!E7</f>
        <v>0.88134132872268456</v>
      </c>
      <c r="E7" s="116">
        <f>Datasheet!I7/Datasheet!E7</f>
        <v>0.1186586712773155</v>
      </c>
      <c r="F7" s="116">
        <f>(Datasheet!E7-Datasheet!D7)/Datasheet!D7</f>
        <v>0.1879877445592438</v>
      </c>
      <c r="G7" s="116">
        <f>(Datasheet!G7-Datasheet!F7)/Datasheet!F7</f>
        <v>0.20730818586524294</v>
      </c>
      <c r="H7" s="116">
        <f>(Datasheet!I7-Datasheet!H7)/Datasheet!H7</f>
        <v>6.1782055262340888E-2</v>
      </c>
      <c r="I7" s="116">
        <f>(Datasheet!K7-Datasheet!J7)/Datasheet!J7</f>
        <v>-0.15970598062145006</v>
      </c>
      <c r="J7" s="116">
        <f>Datasheet!F7/Datasheet!D7</f>
        <v>0.86723730490217632</v>
      </c>
      <c r="K7" s="116">
        <f>Datasheet!H7/Datasheet!D7</f>
        <v>0.13276269509782371</v>
      </c>
      <c r="L7" s="116">
        <f>Datasheet!R7/Datasheet!Q7</f>
        <v>0.88596491228070173</v>
      </c>
      <c r="M7" s="117">
        <f>(Datasheet!AB7-Datasheet!AA7)/Datasheet!AA7</f>
        <v>0</v>
      </c>
      <c r="N7" s="118">
        <f>Datasheet!AC7/Datasheet!E7</f>
        <v>1.8128408111812089E-2</v>
      </c>
      <c r="O7" s="111">
        <f>SUM(Datasheet!AD7:AG7)</f>
        <v>1300</v>
      </c>
      <c r="P7" s="111">
        <f>SUM(Datasheet!AH7:AK7)</f>
        <v>1220</v>
      </c>
      <c r="Q7" s="111">
        <f>O7+P7</f>
        <v>2520</v>
      </c>
      <c r="R7" s="118">
        <f>Q7/Datasheet!AC7</f>
        <v>0.80382775119617222</v>
      </c>
      <c r="S7" s="118">
        <f>Datasheet!AL7/Datasheet!G7</f>
        <v>9.218373760768438E-3</v>
      </c>
      <c r="T7" s="118">
        <f>Datasheet!AM7/Datasheet!I7</f>
        <v>8.430799220272904E-2</v>
      </c>
      <c r="U7" s="119">
        <f>O7/Datasheet!AL7</f>
        <v>0.92526690391459077</v>
      </c>
      <c r="V7" s="119">
        <f>P7/Datasheet!AM7</f>
        <v>0.7052023121387283</v>
      </c>
      <c r="W7" s="120">
        <f>((Datasheet!AP7-Datasheet!AO7)/Datasheet!AO7)*100</f>
        <v>18.524382177208601</v>
      </c>
      <c r="X7" s="119">
        <f>Datasheet!AQ7/Datasheet!AR7</f>
        <v>0.38512496116125844</v>
      </c>
      <c r="Y7" s="111">
        <f>Datasheet!AV7+Datasheet!AS7</f>
        <v>48805</v>
      </c>
      <c r="Z7" s="117">
        <f>Datasheet!AW7/(Datasheet!AS7+Datasheet!AV7)</f>
        <v>0.53736297510500974</v>
      </c>
      <c r="AA7" s="111">
        <f>Datasheet!AX7+Datasheet!AT7</f>
        <v>37592</v>
      </c>
      <c r="AB7" s="119">
        <f>Datasheet!AY7/(Datasheet!AT7+Datasheet!AX7)</f>
        <v>0.45544264737178125</v>
      </c>
      <c r="AC7" s="119">
        <f>Datasheet!AU7/(Datasheet!AU7+Datasheet!AZ7)</f>
        <v>0.98831499782460064</v>
      </c>
      <c r="AD7" s="119">
        <f>Datasheet!AZ7/(Datasheet!AU7+Datasheet!AZ7)</f>
        <v>1.1685002175399341E-2</v>
      </c>
      <c r="AE7" s="117">
        <f>(Datasheet!BB7-Datasheet!BA7)/Datasheet!BA7</f>
        <v>8.6375238018069123E-2</v>
      </c>
      <c r="AF7" s="118">
        <f>(Datasheet!AX7+Datasheet!AT7)/Datasheet!BB7</f>
        <v>0.46730064018894896</v>
      </c>
      <c r="AG7" s="111">
        <f>(Datasheet!AP7*1000)/Datasheet!E7</f>
        <v>632.04824990025043</v>
      </c>
      <c r="AH7" s="119">
        <f>Datasheet!BW7/SUM(Datasheet!$BW7:$BZ7)</f>
        <v>0.79653679653679654</v>
      </c>
      <c r="AI7" s="119">
        <f>Datasheet!BX7/SUM(Datasheet!$BW7:$BZ7)</f>
        <v>9.5238095238095233E-2</v>
      </c>
      <c r="AJ7" s="119">
        <f>Datasheet!BY7/SUM(Datasheet!$BW7:$BZ7)</f>
        <v>3.4632034632034632E-2</v>
      </c>
      <c r="AK7" s="119">
        <f>Datasheet!BZ7/SUM(Datasheet!$BW7:$BZ7)</f>
        <v>7.3593073593073599E-2</v>
      </c>
      <c r="AL7" s="31">
        <f>Datasheet!BR7+Datasheet!BS7</f>
        <v>66</v>
      </c>
      <c r="AM7" s="31">
        <f>100-Datasheet!BV7</f>
        <v>86</v>
      </c>
      <c r="AN7" s="121">
        <f>(Datasheet!CL7-Datasheet!CK7)/Datasheet!CK7</f>
        <v>-8.247422680412371E-2</v>
      </c>
    </row>
    <row r="8" spans="1:40">
      <c r="A8" s="42" t="s">
        <v>92</v>
      </c>
      <c r="B8" s="42" t="s">
        <v>93</v>
      </c>
      <c r="C8" s="42" t="s">
        <v>94</v>
      </c>
      <c r="D8" s="116">
        <f>Datasheet!G8/Datasheet!E8</f>
        <v>0.80264507030700361</v>
      </c>
      <c r="E8" s="116">
        <f>Datasheet!I8/Datasheet!E8</f>
        <v>0.19735492969299642</v>
      </c>
      <c r="F8" s="116">
        <f>(Datasheet!E8-Datasheet!D8)/Datasheet!D8</f>
        <v>9.0462789673583968E-2</v>
      </c>
      <c r="G8" s="116">
        <f>(Datasheet!G8-Datasheet!F8)/Datasheet!F8</f>
        <v>6.5515205072685309E-2</v>
      </c>
      <c r="H8" s="116">
        <f>(Datasheet!I8-Datasheet!H8)/Datasheet!H8</f>
        <v>0.20522898483709998</v>
      </c>
      <c r="I8" s="116">
        <f>(Datasheet!K8-Datasheet!J8)/Datasheet!J8</f>
        <v>0.19067743940335613</v>
      </c>
      <c r="J8" s="116">
        <f>Datasheet!F8/Datasheet!D8</f>
        <v>0.82143790939615791</v>
      </c>
      <c r="K8" s="116">
        <f>Datasheet!H8/Datasheet!D8</f>
        <v>0.17856209060384212</v>
      </c>
      <c r="L8" s="116">
        <f>Datasheet!R8/Datasheet!Q8</f>
        <v>0.8779342723004695</v>
      </c>
      <c r="M8" s="117">
        <f>(Datasheet!AB8-Datasheet!AA8)/Datasheet!AA8</f>
        <v>-2.6533996683250414E-3</v>
      </c>
      <c r="N8" s="118">
        <f>Datasheet!AC8/Datasheet!E8</f>
        <v>1.8629699621727183E-2</v>
      </c>
      <c r="O8" s="111">
        <f>SUM(Datasheet!AD8:AG8)</f>
        <v>2020</v>
      </c>
      <c r="P8" s="111">
        <f>SUM(Datasheet!AH8:AK8)</f>
        <v>2660</v>
      </c>
      <c r="Q8" s="111">
        <f t="shared" ref="Q8:Q71" si="0">O8+P8</f>
        <v>4680</v>
      </c>
      <c r="R8" s="118">
        <f>Q8/Datasheet!AC8</f>
        <v>0.79254868755292129</v>
      </c>
      <c r="S8" s="118">
        <f>Datasheet!AL8/Datasheet!G8</f>
        <v>8.9225351005455724E-3</v>
      </c>
      <c r="T8" s="118">
        <f>Datasheet!AM8/Datasheet!I8</f>
        <v>5.8108864199504437E-2</v>
      </c>
      <c r="U8" s="119">
        <f>O8/Datasheet!AL8</f>
        <v>0.88986784140969166</v>
      </c>
      <c r="V8" s="119">
        <f>P8/Datasheet!AM8</f>
        <v>0.73177441540577715</v>
      </c>
      <c r="W8" s="120">
        <f>((Datasheet!AP8-Datasheet!AO8)/Datasheet!AO8)*100</f>
        <v>4.981153632324963</v>
      </c>
      <c r="X8" s="119">
        <f>Datasheet!AQ8/Datasheet!AR8</f>
        <v>0.55761903022777348</v>
      </c>
      <c r="Y8" s="111">
        <f>Datasheet!AV8+Datasheet!AS8</f>
        <v>91036</v>
      </c>
      <c r="Z8" s="117">
        <f>Datasheet!AW8/(Datasheet!AS8+Datasheet!AV8)</f>
        <v>0.59889494266004661</v>
      </c>
      <c r="AA8" s="111">
        <f>Datasheet!AX8+Datasheet!AT8</f>
        <v>79148</v>
      </c>
      <c r="AB8" s="119">
        <f>Datasheet!AY8/(Datasheet!AT8+Datasheet!AX8)</f>
        <v>0.52235053317834945</v>
      </c>
      <c r="AC8" s="119">
        <f>Datasheet!AU8/(Datasheet!AU8+Datasheet!AZ8)</f>
        <v>0.98893552311435529</v>
      </c>
      <c r="AD8" s="119">
        <f>Datasheet!AZ8/(Datasheet!AU8+Datasheet!AZ8)</f>
        <v>1.1064476885644769E-2</v>
      </c>
      <c r="AE8" s="117">
        <f>(Datasheet!BB8-Datasheet!BA8)/Datasheet!BA8</f>
        <v>4.3140589209459332E-2</v>
      </c>
      <c r="AF8" s="118">
        <f>(Datasheet!AX8+Datasheet!AT8)/Datasheet!BB8</f>
        <v>0.48143552311435522</v>
      </c>
      <c r="AG8" s="111">
        <f>(Datasheet!AP8*1000)/Datasheet!E8</f>
        <v>649.35781958374218</v>
      </c>
      <c r="AH8" s="119">
        <f>Datasheet!BW8/SUM(Datasheet!$BW8:$BZ8)</f>
        <v>0.75647668393782386</v>
      </c>
      <c r="AI8" s="119">
        <f>Datasheet!BX8/SUM(Datasheet!$BW8:$BZ8)</f>
        <v>8.2901554404145081E-2</v>
      </c>
      <c r="AJ8" s="119">
        <f>Datasheet!BY8/SUM(Datasheet!$BW8:$BZ8)</f>
        <v>3.6269430051813469E-2</v>
      </c>
      <c r="AK8" s="119">
        <f>Datasheet!BZ8/SUM(Datasheet!$BW8:$BZ8)</f>
        <v>0.12435233160621761</v>
      </c>
      <c r="AL8" s="31">
        <f>Datasheet!BR8+Datasheet!BS8</f>
        <v>59</v>
      </c>
      <c r="AM8" s="31">
        <f>100-Datasheet!BV8</f>
        <v>74</v>
      </c>
      <c r="AN8" s="121">
        <f>(Datasheet!CL8-Datasheet!CK8)/Datasheet!CK8</f>
        <v>0.15165876777251186</v>
      </c>
    </row>
    <row r="9" spans="1:40">
      <c r="A9" s="42" t="s">
        <v>95</v>
      </c>
      <c r="B9" s="42" t="s">
        <v>96</v>
      </c>
      <c r="C9" s="42" t="s">
        <v>97</v>
      </c>
      <c r="D9" s="116">
        <f>Datasheet!G9/Datasheet!E9</f>
        <v>0.74452674325089108</v>
      </c>
      <c r="E9" s="116">
        <f>Datasheet!I9/Datasheet!E9</f>
        <v>0.25547325674910887</v>
      </c>
      <c r="F9" s="116">
        <f>(Datasheet!E9-Datasheet!D9)/Datasheet!D9</f>
        <v>6.5207849690380376E-2</v>
      </c>
      <c r="G9" s="116">
        <f>(Datasheet!G9-Datasheet!F9)/Datasheet!F9</f>
        <v>3.6204597431131809E-2</v>
      </c>
      <c r="H9" s="116">
        <f>(Datasheet!I9-Datasheet!H9)/Datasheet!H9</f>
        <v>0.1598151904439937</v>
      </c>
      <c r="I9" s="116">
        <f>(Datasheet!K9-Datasheet!J9)/Datasheet!J9</f>
        <v>0.15626810894340351</v>
      </c>
      <c r="J9" s="116">
        <f>Datasheet!F9/Datasheet!D9</f>
        <v>0.76536596458014949</v>
      </c>
      <c r="K9" s="116">
        <f>Datasheet!H9/Datasheet!D9</f>
        <v>0.23463403541985056</v>
      </c>
      <c r="L9" s="116">
        <f>Datasheet!R9/Datasheet!Q9</f>
        <v>0.86029411764705888</v>
      </c>
      <c r="M9" s="117">
        <f>(Datasheet!AB9-Datasheet!AA9)/Datasheet!AA9</f>
        <v>8.4707980383415069E-3</v>
      </c>
      <c r="N9" s="118">
        <f>Datasheet!AC9/Datasheet!E9</f>
        <v>1.9435646415202994E-2</v>
      </c>
      <c r="O9" s="111">
        <f>SUM(Datasheet!AD9:AG9)</f>
        <v>990</v>
      </c>
      <c r="P9" s="111">
        <f>SUM(Datasheet!AH9:AK9)</f>
        <v>1445</v>
      </c>
      <c r="Q9" s="111">
        <f t="shared" si="0"/>
        <v>2435</v>
      </c>
      <c r="R9" s="118">
        <f>Q9/Datasheet!AC9</f>
        <v>0.62196679438058744</v>
      </c>
      <c r="S9" s="118">
        <f>Datasheet!AL9/Datasheet!G9</f>
        <v>7.8014042527654974E-3</v>
      </c>
      <c r="T9" s="118">
        <f>Datasheet!AM9/Datasheet!I9</f>
        <v>5.3341365305765533E-2</v>
      </c>
      <c r="U9" s="119">
        <f>O9/Datasheet!AL9</f>
        <v>0.84615384615384615</v>
      </c>
      <c r="V9" s="119">
        <f>P9/Datasheet!AM9</f>
        <v>0.5264116575591985</v>
      </c>
      <c r="W9" s="120">
        <f>((Datasheet!AP9-Datasheet!AO9)/Datasheet!AO9)*100</f>
        <v>12.373876270254186</v>
      </c>
      <c r="X9" s="119">
        <f>Datasheet!AQ9/Datasheet!AR9</f>
        <v>0.40701909054206592</v>
      </c>
      <c r="Y9" s="111">
        <f>Datasheet!AV9+Datasheet!AS9</f>
        <v>44856</v>
      </c>
      <c r="Z9" s="117">
        <f>Datasheet!AW9/(Datasheet!AS9+Datasheet!AV9)</f>
        <v>0.6101524879614767</v>
      </c>
      <c r="AA9" s="111">
        <f>Datasheet!AX9+Datasheet!AT9</f>
        <v>59982</v>
      </c>
      <c r="AB9" s="119">
        <f>Datasheet!AY9/(Datasheet!AT9+Datasheet!AX9)</f>
        <v>0.50876929745590349</v>
      </c>
      <c r="AC9" s="119">
        <f>Datasheet!AU9/(Datasheet!AU9+Datasheet!AZ9)</f>
        <v>0.95486248754513214</v>
      </c>
      <c r="AD9" s="119">
        <f>Datasheet!AZ9/(Datasheet!AU9+Datasheet!AZ9)</f>
        <v>4.5137512454867842E-2</v>
      </c>
      <c r="AE9" s="117">
        <f>(Datasheet!BB9-Datasheet!BA9)/Datasheet!BA9</f>
        <v>0.19373569172134189</v>
      </c>
      <c r="AF9" s="118">
        <f>(Datasheet!AX9+Datasheet!AT9)/Datasheet!BB9</f>
        <v>0.64263903918060361</v>
      </c>
      <c r="AG9" s="111">
        <f>(Datasheet!AP9*1000)/Datasheet!E9</f>
        <v>618.69396427614004</v>
      </c>
      <c r="AH9" s="119">
        <f>Datasheet!BW9/SUM(Datasheet!$BW9:$BZ9)</f>
        <v>0.74688796680497926</v>
      </c>
      <c r="AI9" s="119">
        <f>Datasheet!BX9/SUM(Datasheet!$BW9:$BZ9)</f>
        <v>8.2987551867219914E-2</v>
      </c>
      <c r="AJ9" s="119">
        <f>Datasheet!BY9/SUM(Datasheet!$BW9:$BZ9)</f>
        <v>2.9045643153526972E-2</v>
      </c>
      <c r="AK9" s="119">
        <f>Datasheet!BZ9/SUM(Datasheet!$BW9:$BZ9)</f>
        <v>0.14107883817427386</v>
      </c>
      <c r="AL9" s="31">
        <f>Datasheet!BR9+Datasheet!BS9</f>
        <v>10</v>
      </c>
      <c r="AM9" s="31">
        <f>100-Datasheet!BV9</f>
        <v>9</v>
      </c>
      <c r="AN9" s="121">
        <f>(Datasheet!CL9-Datasheet!CK9)/Datasheet!CK9</f>
        <v>-0.11934156378600823</v>
      </c>
    </row>
    <row r="10" spans="1:40">
      <c r="A10" s="42" t="s">
        <v>98</v>
      </c>
      <c r="B10" s="42" t="s">
        <v>99</v>
      </c>
      <c r="C10" s="42" t="s">
        <v>100</v>
      </c>
      <c r="D10" s="116">
        <f>Datasheet!G10/Datasheet!E10</f>
        <v>0.75838483375603027</v>
      </c>
      <c r="E10" s="116">
        <f>Datasheet!I10/Datasheet!E10</f>
        <v>0.24161516624396975</v>
      </c>
      <c r="F10" s="116">
        <f>(Datasheet!E10-Datasheet!D10)/Datasheet!D10</f>
        <v>0.11575684309342266</v>
      </c>
      <c r="G10" s="116">
        <f>(Datasheet!G10-Datasheet!F10)/Datasheet!F10</f>
        <v>0.10817073817905221</v>
      </c>
      <c r="H10" s="116">
        <f>(Datasheet!I10-Datasheet!H10)/Datasheet!H10</f>
        <v>0.14025766275316365</v>
      </c>
      <c r="I10" s="116">
        <f>(Datasheet!K10-Datasheet!J10)/Datasheet!J10</f>
        <v>0.13428571428571429</v>
      </c>
      <c r="J10" s="116">
        <f>Datasheet!F10/Datasheet!D10</f>
        <v>0.76357644071345121</v>
      </c>
      <c r="K10" s="116">
        <f>Datasheet!H10/Datasheet!D10</f>
        <v>0.23642355928654885</v>
      </c>
      <c r="L10" s="116">
        <f>Datasheet!R10/Datasheet!Q10</f>
        <v>0.89423076923076927</v>
      </c>
      <c r="M10" s="117">
        <f>(Datasheet!AB10-Datasheet!AA10)/Datasheet!AA10</f>
        <v>0.10851808634772463</v>
      </c>
      <c r="N10" s="118">
        <f>Datasheet!AC10/Datasheet!E10</f>
        <v>1.4345465440744753E-2</v>
      </c>
      <c r="O10" s="111">
        <f>SUM(Datasheet!AD10:AG10)</f>
        <v>755</v>
      </c>
      <c r="P10" s="111">
        <f>SUM(Datasheet!AH10:AK10)</f>
        <v>700</v>
      </c>
      <c r="Q10" s="111">
        <f t="shared" si="0"/>
        <v>1455</v>
      </c>
      <c r="R10" s="118">
        <f>Q10/Datasheet!AC10</f>
        <v>0.61392405063291144</v>
      </c>
      <c r="S10" s="118">
        <f>Datasheet!AL10/Datasheet!G10</f>
        <v>7.3029403313858822E-3</v>
      </c>
      <c r="T10" s="118">
        <f>Datasheet!AM10/Datasheet!I10</f>
        <v>3.6450635067765615E-2</v>
      </c>
      <c r="U10" s="119">
        <f>O10/Datasheet!AL10</f>
        <v>0.82513661202185795</v>
      </c>
      <c r="V10" s="119">
        <f>P10/Datasheet!AM10</f>
        <v>0.48109965635738833</v>
      </c>
      <c r="W10" s="120">
        <f>((Datasheet!AP10-Datasheet!AO10)/Datasheet!AO10)*100</f>
        <v>7.8263051113680495</v>
      </c>
      <c r="X10" s="119">
        <f>Datasheet!AQ10/Datasheet!AR10</f>
        <v>0.46021561141394302</v>
      </c>
      <c r="Y10" s="111">
        <f>Datasheet!AV10+Datasheet!AS10</f>
        <v>30622</v>
      </c>
      <c r="Z10" s="117">
        <f>Datasheet!AW10/(Datasheet!AS10+Datasheet!AV10)</f>
        <v>0.70530990790934622</v>
      </c>
      <c r="AA10" s="111">
        <f>Datasheet!AX10+Datasheet!AT10</f>
        <v>45387</v>
      </c>
      <c r="AB10" s="119">
        <f>Datasheet!AY10/(Datasheet!AT10+Datasheet!AX10)</f>
        <v>0.51492718179214314</v>
      </c>
      <c r="AC10" s="119">
        <f>Datasheet!AU10/(Datasheet!AU10+Datasheet!AZ10)</f>
        <v>0.97924287415185551</v>
      </c>
      <c r="AD10" s="119">
        <f>Datasheet!AZ10/(Datasheet!AU10+Datasheet!AZ10)</f>
        <v>2.0757125848144483E-2</v>
      </c>
      <c r="AE10" s="117">
        <f>(Datasheet!BB10-Datasheet!BA10)/Datasheet!BA10</f>
        <v>1.606203267792855E-2</v>
      </c>
      <c r="AF10" s="118">
        <f>(Datasheet!AX10+Datasheet!AT10)/Datasheet!BB10</f>
        <v>0.65107371863837848</v>
      </c>
      <c r="AG10" s="111">
        <f>(Datasheet!AP10*1000)/Datasheet!E10</f>
        <v>598.35117941516501</v>
      </c>
      <c r="AH10" s="119">
        <f>Datasheet!BW10/SUM(Datasheet!$BW10:$BZ10)</f>
        <v>0.65822784810126578</v>
      </c>
      <c r="AI10" s="119">
        <f>Datasheet!BX10/SUM(Datasheet!$BW10:$BZ10)</f>
        <v>8.2278481012658222E-2</v>
      </c>
      <c r="AJ10" s="119">
        <f>Datasheet!BY10/SUM(Datasheet!$BW10:$BZ10)</f>
        <v>6.9620253164556958E-2</v>
      </c>
      <c r="AK10" s="119">
        <f>Datasheet!BZ10/SUM(Datasheet!$BW10:$BZ10)</f>
        <v>0.189873417721519</v>
      </c>
      <c r="AL10" s="31">
        <f>Datasheet!BR10+Datasheet!BS10</f>
        <v>27</v>
      </c>
      <c r="AM10" s="31">
        <f>100-Datasheet!BV10</f>
        <v>24</v>
      </c>
      <c r="AN10" s="121">
        <f>(Datasheet!CL10-Datasheet!CK10)/Datasheet!CK10</f>
        <v>2.023121387283237E-2</v>
      </c>
    </row>
    <row r="11" spans="1:40">
      <c r="A11" s="42" t="s">
        <v>101</v>
      </c>
      <c r="B11" s="42" t="s">
        <v>102</v>
      </c>
      <c r="C11" s="42" t="s">
        <v>103</v>
      </c>
      <c r="D11" s="116">
        <f>Datasheet!G11/Datasheet!E11</f>
        <v>0.77568831985742182</v>
      </c>
      <c r="E11" s="116">
        <f>Datasheet!I11/Datasheet!E11</f>
        <v>0.22431168014257821</v>
      </c>
      <c r="F11" s="116">
        <f>(Datasheet!E11-Datasheet!D11)/Datasheet!D11</f>
        <v>0.1569770527097816</v>
      </c>
      <c r="G11" s="116">
        <f>(Datasheet!G11-Datasheet!F11)/Datasheet!F11</f>
        <v>0.14383991806525792</v>
      </c>
      <c r="H11" s="116">
        <f>(Datasheet!I11-Datasheet!H11)/Datasheet!H11</f>
        <v>0.20482860561694938</v>
      </c>
      <c r="I11" s="116">
        <f>(Datasheet!K11-Datasheet!J11)/Datasheet!J11</f>
        <v>0.22117061021170611</v>
      </c>
      <c r="J11" s="116">
        <f>Datasheet!F11/Datasheet!D11</f>
        <v>0.78459719052997856</v>
      </c>
      <c r="K11" s="116">
        <f>Datasheet!H11/Datasheet!D11</f>
        <v>0.21540280947002147</v>
      </c>
      <c r="L11" s="116">
        <f>Datasheet!R11/Datasheet!Q11</f>
        <v>0.90217391304347827</v>
      </c>
      <c r="M11" s="117">
        <f>(Datasheet!AB11-Datasheet!AA11)/Datasheet!AA11</f>
        <v>-1.9009216589861752E-2</v>
      </c>
      <c r="N11" s="118">
        <f>Datasheet!AC11/Datasheet!E11</f>
        <v>1.8772359747867225E-2</v>
      </c>
      <c r="O11" s="111">
        <f>SUM(Datasheet!AD11:AG11)</f>
        <v>955</v>
      </c>
      <c r="P11" s="111">
        <f>SUM(Datasheet!AH11:AK11)</f>
        <v>1055</v>
      </c>
      <c r="Q11" s="111">
        <f t="shared" si="0"/>
        <v>2010</v>
      </c>
      <c r="R11" s="118">
        <f>Q11/Datasheet!AC11</f>
        <v>0.70157068062827221</v>
      </c>
      <c r="S11" s="118">
        <f>Datasheet!AL11/Datasheet!G11</f>
        <v>9.5874442492228686E-3</v>
      </c>
      <c r="T11" s="118">
        <f>Datasheet!AM11/Datasheet!I11</f>
        <v>5.0534556289069346E-2</v>
      </c>
      <c r="U11" s="119">
        <f>O11/Datasheet!AL11</f>
        <v>0.84140969162995594</v>
      </c>
      <c r="V11" s="119">
        <f>P11/Datasheet!AM11</f>
        <v>0.60982658959537572</v>
      </c>
      <c r="W11" s="120">
        <f>((Datasheet!AP11-Datasheet!AO11)/Datasheet!AO11)*100</f>
        <v>4.4075080702924927</v>
      </c>
      <c r="X11" s="119">
        <f>Datasheet!AQ11/Datasheet!AR11</f>
        <v>0.49482011778764085</v>
      </c>
      <c r="Y11" s="111">
        <f>Datasheet!AV11+Datasheet!AS11</f>
        <v>45668</v>
      </c>
      <c r="Z11" s="117">
        <f>Datasheet!AW11/(Datasheet!AS11+Datasheet!AV11)</f>
        <v>0.46240255758955945</v>
      </c>
      <c r="AA11" s="111">
        <f>Datasheet!AX11+Datasheet!AT11</f>
        <v>42532</v>
      </c>
      <c r="AB11" s="119">
        <f>Datasheet!AY11/(Datasheet!AT11+Datasheet!AX11)</f>
        <v>0.69700460829493083</v>
      </c>
      <c r="AC11" s="119">
        <f>Datasheet!AU11/(Datasheet!AU11+Datasheet!AZ11)</f>
        <v>0.99562853182642075</v>
      </c>
      <c r="AD11" s="119">
        <f>Datasheet!AZ11/(Datasheet!AU11+Datasheet!AZ11)</f>
        <v>4.3714681735792732E-3</v>
      </c>
      <c r="AE11" s="117">
        <f>(Datasheet!BB11-Datasheet!BA11)/Datasheet!BA11</f>
        <v>9.9430819125519362E-2</v>
      </c>
      <c r="AF11" s="118">
        <f>(Datasheet!AX11+Datasheet!AT11)/Datasheet!BB11</f>
        <v>0.5038679792917985</v>
      </c>
      <c r="AG11" s="111">
        <f>(Datasheet!AP11*1000)/Datasheet!E11</f>
        <v>697.22444272628388</v>
      </c>
      <c r="AH11" s="119">
        <f>Datasheet!BW11/SUM(Datasheet!$BW11:$BZ11)</f>
        <v>0.76279069767441865</v>
      </c>
      <c r="AI11" s="119">
        <f>Datasheet!BX11/SUM(Datasheet!$BW11:$BZ11)</f>
        <v>8.3720930232558138E-2</v>
      </c>
      <c r="AJ11" s="119">
        <f>Datasheet!BY11/SUM(Datasheet!$BW11:$BZ11)</f>
        <v>3.255813953488372E-2</v>
      </c>
      <c r="AK11" s="119">
        <f>Datasheet!BZ11/SUM(Datasheet!$BW11:$BZ11)</f>
        <v>0.12093023255813953</v>
      </c>
      <c r="AL11" s="31">
        <f>Datasheet!BR11+Datasheet!BS11</f>
        <v>39</v>
      </c>
      <c r="AM11" s="31">
        <f>100-Datasheet!BV11</f>
        <v>51</v>
      </c>
      <c r="AN11" s="121">
        <f>(Datasheet!CL11-Datasheet!CK11)/Datasheet!CK11</f>
        <v>-0.15527950310559005</v>
      </c>
    </row>
    <row r="12" spans="1:40">
      <c r="A12" s="42" t="s">
        <v>104</v>
      </c>
      <c r="B12" s="42" t="s">
        <v>105</v>
      </c>
      <c r="C12" s="42" t="s">
        <v>106</v>
      </c>
      <c r="D12" s="116">
        <f>Datasheet!G12/Datasheet!E12</f>
        <v>0.78271214117199206</v>
      </c>
      <c r="E12" s="116">
        <f>Datasheet!I12/Datasheet!E12</f>
        <v>0.217287858828008</v>
      </c>
      <c r="F12" s="116">
        <f>(Datasheet!E12-Datasheet!D12)/Datasheet!D12</f>
        <v>7.6672095606872825E-2</v>
      </c>
      <c r="G12" s="116">
        <f>(Datasheet!G12-Datasheet!F12)/Datasheet!F12</f>
        <v>7.3677339563006733E-2</v>
      </c>
      <c r="H12" s="116">
        <f>(Datasheet!I12-Datasheet!H12)/Datasheet!H12</f>
        <v>8.7599659028230456E-2</v>
      </c>
      <c r="I12" s="116">
        <f>(Datasheet!K12-Datasheet!J12)/Datasheet!J12</f>
        <v>0.14132131090688399</v>
      </c>
      <c r="J12" s="116">
        <f>Datasheet!F12/Datasheet!D12</f>
        <v>0.78489532212311108</v>
      </c>
      <c r="K12" s="116">
        <f>Datasheet!H12/Datasheet!D12</f>
        <v>0.21510467787688889</v>
      </c>
      <c r="L12" s="116">
        <f>Datasheet!R12/Datasheet!Q12</f>
        <v>0.86725663716814161</v>
      </c>
      <c r="M12" s="117">
        <f>(Datasheet!AB12-Datasheet!AA12)/Datasheet!AA12</f>
        <v>0</v>
      </c>
      <c r="N12" s="118">
        <f>Datasheet!AC12/Datasheet!E12</f>
        <v>1.9534869742490347E-2</v>
      </c>
      <c r="O12" s="111">
        <f>SUM(Datasheet!AD12:AG12)</f>
        <v>1380</v>
      </c>
      <c r="P12" s="111">
        <f>SUM(Datasheet!AH12:AK12)</f>
        <v>1680</v>
      </c>
      <c r="Q12" s="111">
        <f t="shared" si="0"/>
        <v>3060</v>
      </c>
      <c r="R12" s="118">
        <f>Q12/Datasheet!AC12</f>
        <v>0.7846153846153846</v>
      </c>
      <c r="S12" s="118">
        <f>Datasheet!AL12/Datasheet!G12</f>
        <v>9.7591880355554425E-3</v>
      </c>
      <c r="T12" s="118">
        <f>Datasheet!AM12/Datasheet!I12</f>
        <v>5.4748732134624251E-2</v>
      </c>
      <c r="U12" s="119">
        <f>O12/Datasheet!AL12</f>
        <v>0.90491803278688521</v>
      </c>
      <c r="V12" s="119">
        <f>P12/Datasheet!AM12</f>
        <v>0.70736842105263154</v>
      </c>
      <c r="W12" s="120">
        <f>((Datasheet!AP12-Datasheet!AO12)/Datasheet!AO12)*100</f>
        <v>7.189494457507557</v>
      </c>
      <c r="X12" s="119">
        <f>Datasheet!AQ12/Datasheet!AR12</f>
        <v>0.43227266890815447</v>
      </c>
      <c r="Y12" s="111">
        <f>Datasheet!AV12+Datasheet!AS12</f>
        <v>46339</v>
      </c>
      <c r="Z12" s="117">
        <f>Datasheet!AW12/(Datasheet!AS12+Datasheet!AV12)</f>
        <v>0.53188458965450269</v>
      </c>
      <c r="AA12" s="111">
        <f>Datasheet!AX12+Datasheet!AT12</f>
        <v>47732</v>
      </c>
      <c r="AB12" s="119">
        <f>Datasheet!AY12/(Datasheet!AT12+Datasheet!AX12)</f>
        <v>0.63647029246626996</v>
      </c>
      <c r="AC12" s="119">
        <f>Datasheet!AU12/(Datasheet!AU12+Datasheet!AZ12)</f>
        <v>0.96611371047781081</v>
      </c>
      <c r="AD12" s="119">
        <f>Datasheet!AZ12/(Datasheet!AU12+Datasheet!AZ12)</f>
        <v>3.3886289522189139E-2</v>
      </c>
      <c r="AE12" s="117">
        <f>(Datasheet!BB12-Datasheet!BA12)/Datasheet!BA12</f>
        <v>8.3992930146776307E-2</v>
      </c>
      <c r="AF12" s="118">
        <f>(Datasheet!AX12+Datasheet!AT12)/Datasheet!BB12</f>
        <v>0.56396805142019946</v>
      </c>
      <c r="AG12" s="111">
        <f>(Datasheet!AP12*1000)/Datasheet!E12</f>
        <v>511.47798820895298</v>
      </c>
      <c r="AH12" s="119">
        <f>Datasheet!BW12/SUM(Datasheet!$BW12:$BZ12)</f>
        <v>0.76555023923444976</v>
      </c>
      <c r="AI12" s="119">
        <f>Datasheet!BX12/SUM(Datasheet!$BW12:$BZ12)</f>
        <v>9.0909090909090912E-2</v>
      </c>
      <c r="AJ12" s="119">
        <f>Datasheet!BY12/SUM(Datasheet!$BW12:$BZ12)</f>
        <v>3.8277511961722487E-2</v>
      </c>
      <c r="AK12" s="119">
        <f>Datasheet!BZ12/SUM(Datasheet!$BW12:$BZ12)</f>
        <v>0.10526315789473684</v>
      </c>
      <c r="AL12" s="31">
        <f>Datasheet!BR12+Datasheet!BS12</f>
        <v>51</v>
      </c>
      <c r="AM12" s="31">
        <f>100-Datasheet!BV12</f>
        <v>67</v>
      </c>
      <c r="AN12" s="121">
        <f>(Datasheet!CL12-Datasheet!CK12)/Datasheet!CK12</f>
        <v>-0.57250000000000001</v>
      </c>
    </row>
    <row r="13" spans="1:40">
      <c r="A13" s="42" t="s">
        <v>107</v>
      </c>
      <c r="B13" s="42" t="s">
        <v>108</v>
      </c>
      <c r="C13" s="42" t="s">
        <v>109</v>
      </c>
      <c r="D13" s="116">
        <f>Datasheet!G13/Datasheet!E13</f>
        <v>0.82524980930160763</v>
      </c>
      <c r="E13" s="116">
        <f>Datasheet!I13/Datasheet!E13</f>
        <v>0.17475019069839232</v>
      </c>
      <c r="F13" s="116">
        <f>(Datasheet!E13-Datasheet!D13)/Datasheet!D13</f>
        <v>7.850923645171641E-2</v>
      </c>
      <c r="G13" s="116">
        <f>(Datasheet!G13-Datasheet!F13)/Datasheet!F13</f>
        <v>7.8929436262180783E-2</v>
      </c>
      <c r="H13" s="116">
        <f>(Datasheet!I13-Datasheet!H13)/Datasheet!H13</f>
        <v>7.6529276392850745E-2</v>
      </c>
      <c r="I13" s="116">
        <f>(Datasheet!K13-Datasheet!J13)/Datasheet!J13</f>
        <v>6.7738957189367802E-2</v>
      </c>
      <c r="J13" s="116">
        <f>Datasheet!F13/Datasheet!D13</f>
        <v>0.82492840754742469</v>
      </c>
      <c r="K13" s="116">
        <f>Datasheet!H13/Datasheet!D13</f>
        <v>0.17507159245257528</v>
      </c>
      <c r="L13" s="116">
        <f>Datasheet!R13/Datasheet!Q13</f>
        <v>0.87391304347826082</v>
      </c>
      <c r="M13" s="117">
        <f>(Datasheet!AB13-Datasheet!AA13)/Datasheet!AA13</f>
        <v>3.1943692474282623E-2</v>
      </c>
      <c r="N13" s="118">
        <f>Datasheet!AC13/Datasheet!E13</f>
        <v>1.7414510078493917E-2</v>
      </c>
      <c r="O13" s="111">
        <f>SUM(Datasheet!AD13:AG13)</f>
        <v>4745</v>
      </c>
      <c r="P13" s="111">
        <f>SUM(Datasheet!AH13:AK13)</f>
        <v>5655</v>
      </c>
      <c r="Q13" s="111">
        <f t="shared" si="0"/>
        <v>10400</v>
      </c>
      <c r="R13" s="118">
        <f>Q13/Datasheet!AC13</f>
        <v>0.66795118818240207</v>
      </c>
      <c r="S13" s="118">
        <f>Datasheet!AL13/Datasheet!G13</f>
        <v>7.9556435600623976E-3</v>
      </c>
      <c r="T13" s="118">
        <f>Datasheet!AM13/Datasheet!I13</f>
        <v>6.2083576013978403E-2</v>
      </c>
      <c r="U13" s="119">
        <f>O13/Datasheet!AL13</f>
        <v>0.80834752981260649</v>
      </c>
      <c r="V13" s="119">
        <f>P13/Datasheet!AM13</f>
        <v>0.58298969072164952</v>
      </c>
      <c r="W13" s="120">
        <f>((Datasheet!AP13-Datasheet!AO13)/Datasheet!AO13)*100</f>
        <v>6.5768996424979633</v>
      </c>
      <c r="X13" s="119">
        <f>Datasheet!AQ13/Datasheet!AR13</f>
        <v>0.47595273594817405</v>
      </c>
      <c r="Y13" s="111">
        <f>Datasheet!AV13+Datasheet!AS13</f>
        <v>256497</v>
      </c>
      <c r="Z13" s="117">
        <f>Datasheet!AW13/(Datasheet!AS13+Datasheet!AV13)</f>
        <v>0.44886294966412865</v>
      </c>
      <c r="AA13" s="111">
        <f>Datasheet!AX13+Datasheet!AT13</f>
        <v>228976</v>
      </c>
      <c r="AB13" s="119">
        <f>Datasheet!AY13/(Datasheet!AT13+Datasheet!AX13)</f>
        <v>0.70889962266787787</v>
      </c>
      <c r="AC13" s="119">
        <f>Datasheet!AU13/(Datasheet!AU13+Datasheet!AZ13)</f>
        <v>0.96225142116619122</v>
      </c>
      <c r="AD13" s="119">
        <f>Datasheet!AZ13/(Datasheet!AU13+Datasheet!AZ13)</f>
        <v>3.7748578833808728E-2</v>
      </c>
      <c r="AE13" s="117">
        <f>(Datasheet!BB13-Datasheet!BA13)/Datasheet!BA13</f>
        <v>0.18323874863655765</v>
      </c>
      <c r="AF13" s="118">
        <f>(Datasheet!AX13+Datasheet!AT13)/Datasheet!BB13</f>
        <v>0.50985186026368112</v>
      </c>
      <c r="AG13" s="111">
        <f>(Datasheet!AP13*1000)/Datasheet!E13</f>
        <v>649.52543502721232</v>
      </c>
      <c r="AH13" s="119">
        <f>Datasheet!BW13/SUM(Datasheet!$BW13:$BZ13)</f>
        <v>0.75907590759075905</v>
      </c>
      <c r="AI13" s="119">
        <f>Datasheet!BX13/SUM(Datasheet!$BW13:$BZ13)</f>
        <v>7.9207920792079209E-2</v>
      </c>
      <c r="AJ13" s="119">
        <f>Datasheet!BY13/SUM(Datasheet!$BW13:$BZ13)</f>
        <v>3.9603960396039604E-2</v>
      </c>
      <c r="AK13" s="119">
        <f>Datasheet!BZ13/SUM(Datasheet!$BW13:$BZ13)</f>
        <v>0.12211221122112212</v>
      </c>
      <c r="AL13" s="31">
        <f>Datasheet!BR13+Datasheet!BS13</f>
        <v>38</v>
      </c>
      <c r="AM13" s="31">
        <f>100-Datasheet!BV13</f>
        <v>68</v>
      </c>
      <c r="AN13" s="121">
        <f>(Datasheet!CL13-Datasheet!CK13)/Datasheet!CK13</f>
        <v>0.14360313315926893</v>
      </c>
    </row>
    <row r="14" spans="1:40">
      <c r="A14" s="42" t="s">
        <v>110</v>
      </c>
      <c r="B14" s="42" t="s">
        <v>111</v>
      </c>
      <c r="C14" s="42" t="s">
        <v>112</v>
      </c>
      <c r="D14" s="116">
        <f>Datasheet!G14/Datasheet!E14</f>
        <v>0.80761362334495346</v>
      </c>
      <c r="E14" s="116">
        <f>Datasheet!I14/Datasheet!E14</f>
        <v>0.19238637665504657</v>
      </c>
      <c r="F14" s="116">
        <f>(Datasheet!E14-Datasheet!D14)/Datasheet!D14</f>
        <v>9.6375381302709492E-2</v>
      </c>
      <c r="G14" s="116">
        <f>(Datasheet!G14-Datasheet!F14)/Datasheet!F14</f>
        <v>9.1206616321882289E-2</v>
      </c>
      <c r="H14" s="116">
        <f>(Datasheet!I14-Datasheet!H14)/Datasheet!H14</f>
        <v>0.11861826140743208</v>
      </c>
      <c r="I14" s="116">
        <f>(Datasheet!K14-Datasheet!J14)/Datasheet!J14</f>
        <v>6.8410462776659964E-2</v>
      </c>
      <c r="J14" s="116">
        <f>Datasheet!F14/Datasheet!D14</f>
        <v>0.81143908128476583</v>
      </c>
      <c r="K14" s="116">
        <f>Datasheet!H14/Datasheet!D14</f>
        <v>0.18856091871523417</v>
      </c>
      <c r="L14" s="116">
        <f>Datasheet!R14/Datasheet!Q14</f>
        <v>0.85227272727272729</v>
      </c>
      <c r="M14" s="117">
        <f>(Datasheet!AB14-Datasheet!AA14)/Datasheet!AA14</f>
        <v>-4.0744021257750222E-2</v>
      </c>
      <c r="N14" s="118">
        <f>Datasheet!AC14/Datasheet!E14</f>
        <v>2.724996317572544E-2</v>
      </c>
      <c r="O14" s="111">
        <f>SUM(Datasheet!AD14:AG14)</f>
        <v>1125</v>
      </c>
      <c r="P14" s="111">
        <f>SUM(Datasheet!AH14:AK14)</f>
        <v>1270</v>
      </c>
      <c r="Q14" s="111">
        <f t="shared" si="0"/>
        <v>2395</v>
      </c>
      <c r="R14" s="118">
        <f>Q14/Datasheet!AC14</f>
        <v>0.71921921921921927</v>
      </c>
      <c r="S14" s="118">
        <f>Datasheet!AL14/Datasheet!G14</f>
        <v>1.2716329591050946E-2</v>
      </c>
      <c r="T14" s="118">
        <f>Datasheet!AM14/Datasheet!I14</f>
        <v>8.8260314759676731E-2</v>
      </c>
      <c r="U14" s="119">
        <f>O14/Datasheet!AL14</f>
        <v>0.89641434262948205</v>
      </c>
      <c r="V14" s="119">
        <f>P14/Datasheet!AM14</f>
        <v>0.61204819277108435</v>
      </c>
      <c r="W14" s="120">
        <f>((Datasheet!AP14-Datasheet!AO14)/Datasheet!AO14)*100</f>
        <v>7.2926032842742892</v>
      </c>
      <c r="X14" s="119">
        <f>Datasheet!AQ14/Datasheet!AR14</f>
        <v>0.54853079406596106</v>
      </c>
      <c r="Y14" s="111">
        <f>Datasheet!AV14+Datasheet!AS14</f>
        <v>34874</v>
      </c>
      <c r="Z14" s="117">
        <f>Datasheet!AW14/(Datasheet!AS14+Datasheet!AV14)</f>
        <v>0.5096920341801916</v>
      </c>
      <c r="AA14" s="111">
        <f>Datasheet!AX14+Datasheet!AT14</f>
        <v>36854</v>
      </c>
      <c r="AB14" s="119">
        <f>Datasheet!AY14/(Datasheet!AT14+Datasheet!AX14)</f>
        <v>0.60251261735496831</v>
      </c>
      <c r="AC14" s="119">
        <f>Datasheet!AU14/(Datasheet!AU14+Datasheet!AZ14)</f>
        <v>0.93710571027554113</v>
      </c>
      <c r="AD14" s="119">
        <f>Datasheet!AZ14/(Datasheet!AU14+Datasheet!AZ14)</f>
        <v>6.2894289724458888E-2</v>
      </c>
      <c r="AE14" s="117">
        <f>(Datasheet!BB14-Datasheet!BA14)/Datasheet!BA14</f>
        <v>8.9304107119866097E-2</v>
      </c>
      <c r="AF14" s="118">
        <f>(Datasheet!AX14+Datasheet!AT14)/Datasheet!BB14</f>
        <v>0.54449287138952496</v>
      </c>
      <c r="AG14" s="111">
        <f>(Datasheet!AP14*1000)/Datasheet!E14</f>
        <v>742.11551365771425</v>
      </c>
      <c r="AH14" s="119">
        <f>Datasheet!BW14/SUM(Datasheet!$BW14:$BZ14)</f>
        <v>0.73684210526315785</v>
      </c>
      <c r="AI14" s="119">
        <f>Datasheet!BX14/SUM(Datasheet!$BW14:$BZ14)</f>
        <v>7.8947368421052627E-2</v>
      </c>
      <c r="AJ14" s="119">
        <f>Datasheet!BY14/SUM(Datasheet!$BW14:$BZ14)</f>
        <v>5.2631578947368418E-2</v>
      </c>
      <c r="AK14" s="119">
        <f>Datasheet!BZ14/SUM(Datasheet!$BW14:$BZ14)</f>
        <v>0.13157894736842105</v>
      </c>
      <c r="AL14" s="31">
        <f>Datasheet!BR14+Datasheet!BS14</f>
        <v>17</v>
      </c>
      <c r="AM14" s="31">
        <f>100-Datasheet!BV14</f>
        <v>38</v>
      </c>
      <c r="AN14" s="121">
        <f>(Datasheet!CL14-Datasheet!CK14)/Datasheet!CK14</f>
        <v>4.9504950495049507E-2</v>
      </c>
    </row>
    <row r="15" spans="1:40">
      <c r="A15" s="42" t="s">
        <v>113</v>
      </c>
      <c r="B15" s="42" t="s">
        <v>114</v>
      </c>
      <c r="C15" s="42" t="s">
        <v>115</v>
      </c>
      <c r="D15" s="116">
        <f>Datasheet!G15/Datasheet!E15</f>
        <v>0.73608071966934108</v>
      </c>
      <c r="E15" s="116">
        <f>Datasheet!I15/Datasheet!E15</f>
        <v>0.26391928033065887</v>
      </c>
      <c r="F15" s="116">
        <f>(Datasheet!E15-Datasheet!D15)/Datasheet!D15</f>
        <v>1.640704293720489E-2</v>
      </c>
      <c r="G15" s="116">
        <f>(Datasheet!G15-Datasheet!F15)/Datasheet!F15</f>
        <v>1.1455835980773092E-3</v>
      </c>
      <c r="H15" s="116">
        <f>(Datasheet!I15-Datasheet!H15)/Datasheet!H15</f>
        <v>6.1539536183291423E-2</v>
      </c>
      <c r="I15" s="116">
        <f>(Datasheet!K15-Datasheet!J15)/Datasheet!J15</f>
        <v>2.9270888770622672E-2</v>
      </c>
      <c r="J15" s="116">
        <f>Datasheet!F15/Datasheet!D15</f>
        <v>0.74730153126516918</v>
      </c>
      <c r="K15" s="116">
        <f>Datasheet!H15/Datasheet!D15</f>
        <v>0.25269846873483076</v>
      </c>
      <c r="L15" s="116">
        <f>Datasheet!R15/Datasheet!Q15</f>
        <v>0.8867924528301887</v>
      </c>
      <c r="M15" s="117">
        <f>(Datasheet!AB15-Datasheet!AA15)/Datasheet!AA15</f>
        <v>2.0166073546856466E-2</v>
      </c>
      <c r="N15" s="118">
        <f>Datasheet!AC15/Datasheet!E15</f>
        <v>3.6382897433225661E-2</v>
      </c>
      <c r="O15" s="111">
        <f>SUM(Datasheet!AD15:AG15)</f>
        <v>1140</v>
      </c>
      <c r="P15" s="111">
        <f>SUM(Datasheet!AH15:AK15)</f>
        <v>1770</v>
      </c>
      <c r="Q15" s="111">
        <f t="shared" si="0"/>
        <v>2910</v>
      </c>
      <c r="R15" s="118">
        <f>Q15/Datasheet!AC15</f>
        <v>0.6945107398568019</v>
      </c>
      <c r="S15" s="118">
        <f>Datasheet!AL15/Datasheet!G15</f>
        <v>1.5453580276041053E-2</v>
      </c>
      <c r="T15" s="118">
        <f>Datasheet!AM15/Datasheet!I15</f>
        <v>9.4755543857340266E-2</v>
      </c>
      <c r="U15" s="119">
        <f>O15/Datasheet!AL15</f>
        <v>0.87022900763358779</v>
      </c>
      <c r="V15" s="119">
        <f>P15/Datasheet!AM15</f>
        <v>0.61458333333333337</v>
      </c>
      <c r="W15" s="120">
        <f>((Datasheet!AP15-Datasheet!AO15)/Datasheet!AO15)*100</f>
        <v>4.7610626424585396</v>
      </c>
      <c r="X15" s="119">
        <f>Datasheet!AQ15/Datasheet!AR15</f>
        <v>0.46755768983214957</v>
      </c>
      <c r="Y15" s="111">
        <f>Datasheet!AV15+Datasheet!AS15</f>
        <v>43423</v>
      </c>
      <c r="Z15" s="117">
        <f>Datasheet!AW15/(Datasheet!AS15+Datasheet!AV15)</f>
        <v>0.54210902056513832</v>
      </c>
      <c r="AA15" s="111">
        <f>Datasheet!AX15+Datasheet!AT15</f>
        <v>48308</v>
      </c>
      <c r="AB15" s="119">
        <f>Datasheet!AY15/(Datasheet!AT15+Datasheet!AX15)</f>
        <v>0.59298666887472051</v>
      </c>
      <c r="AC15" s="119">
        <f>Datasheet!AU15/(Datasheet!AU15+Datasheet!AZ15)</f>
        <v>0.95141389625783146</v>
      </c>
      <c r="AD15" s="119">
        <f>Datasheet!AZ15/(Datasheet!AU15+Datasheet!AZ15)</f>
        <v>4.858610374216854E-2</v>
      </c>
      <c r="AE15" s="117">
        <f>(Datasheet!BB15-Datasheet!BA15)/Datasheet!BA15</f>
        <v>0.11877999494821925</v>
      </c>
      <c r="AF15" s="118">
        <f>(Datasheet!AX15+Datasheet!AT15)/Datasheet!BB15</f>
        <v>0.54532934469718353</v>
      </c>
      <c r="AG15" s="111">
        <f>(Datasheet!AP15*1000)/Datasheet!E15</f>
        <v>925.89698169566884</v>
      </c>
      <c r="AH15" s="119">
        <f>Datasheet!BW15/SUM(Datasheet!$BW15:$BZ15)</f>
        <v>0.70056497175141241</v>
      </c>
      <c r="AI15" s="119">
        <f>Datasheet!BX15/SUM(Datasheet!$BW15:$BZ15)</f>
        <v>0.10169491525423729</v>
      </c>
      <c r="AJ15" s="119">
        <f>Datasheet!BY15/SUM(Datasheet!$BW15:$BZ15)</f>
        <v>5.0847457627118647E-2</v>
      </c>
      <c r="AK15" s="119">
        <f>Datasheet!BZ15/SUM(Datasheet!$BW15:$BZ15)</f>
        <v>0.14689265536723164</v>
      </c>
      <c r="AL15" s="31">
        <f>Datasheet!BR15+Datasheet!BS15</f>
        <v>17</v>
      </c>
      <c r="AM15" s="31">
        <f>100-Datasheet!BV15</f>
        <v>22</v>
      </c>
      <c r="AN15" s="121">
        <f>(Datasheet!CL15-Datasheet!CK15)/Datasheet!CK15</f>
        <v>-0.1517509727626459</v>
      </c>
    </row>
    <row r="16" spans="1:40">
      <c r="A16" s="42" t="s">
        <v>116</v>
      </c>
      <c r="B16" s="42" t="s">
        <v>117</v>
      </c>
      <c r="C16" s="42" t="s">
        <v>118</v>
      </c>
      <c r="D16" s="116">
        <f>Datasheet!G16/Datasheet!E16</f>
        <v>0.77435590326444281</v>
      </c>
      <c r="E16" s="116">
        <f>Datasheet!I16/Datasheet!E16</f>
        <v>0.22564409673555719</v>
      </c>
      <c r="F16" s="116">
        <f>(Datasheet!E16-Datasheet!D16)/Datasheet!D16</f>
        <v>8.212724690569316E-2</v>
      </c>
      <c r="G16" s="116">
        <f>(Datasheet!G16-Datasheet!F16)/Datasheet!F16</f>
        <v>7.1991768337498166E-2</v>
      </c>
      <c r="H16" s="116">
        <f>(Datasheet!I16-Datasheet!H16)/Datasheet!H16</f>
        <v>0.11841606669192876</v>
      </c>
      <c r="I16" s="116">
        <f>(Datasheet!K16-Datasheet!J16)/Datasheet!J16</f>
        <v>0.14140127388535031</v>
      </c>
      <c r="J16" s="116">
        <f>Datasheet!F16/Datasheet!D16</f>
        <v>0.7816772912578076</v>
      </c>
      <c r="K16" s="116">
        <f>Datasheet!H16/Datasheet!D16</f>
        <v>0.21832270874219242</v>
      </c>
      <c r="L16" s="116">
        <f>Datasheet!R16/Datasheet!Q16</f>
        <v>0.91279069767441856</v>
      </c>
      <c r="M16" s="117">
        <f>(Datasheet!AB16-Datasheet!AA16)/Datasheet!AA16</f>
        <v>3.686150605581885E-3</v>
      </c>
      <c r="N16" s="118">
        <f>Datasheet!AC16/Datasheet!E16</f>
        <v>2.4719043857190183E-2</v>
      </c>
      <c r="O16" s="111">
        <f>SUM(Datasheet!AD16:AG16)</f>
        <v>1865</v>
      </c>
      <c r="P16" s="111">
        <f>SUM(Datasheet!AH16:AK16)</f>
        <v>2500</v>
      </c>
      <c r="Q16" s="111">
        <f t="shared" si="0"/>
        <v>4365</v>
      </c>
      <c r="R16" s="118">
        <f>Q16/Datasheet!AC16</f>
        <v>0.75</v>
      </c>
      <c r="S16" s="118">
        <f>Datasheet!AL16/Datasheet!G16</f>
        <v>1.135372616128873E-2</v>
      </c>
      <c r="T16" s="118">
        <f>Datasheet!AM16/Datasheet!I16</f>
        <v>7.0585577954712292E-2</v>
      </c>
      <c r="U16" s="119">
        <f>O16/Datasheet!AL16</f>
        <v>0.90096618357487923</v>
      </c>
      <c r="V16" s="119">
        <f>P16/Datasheet!AM16</f>
        <v>0.66666666666666663</v>
      </c>
      <c r="W16" s="120">
        <f>((Datasheet!AP16-Datasheet!AO16)/Datasheet!AO16)*100</f>
        <v>9.7794426367167002</v>
      </c>
      <c r="X16" s="119">
        <f>Datasheet!AQ16/Datasheet!AR16</f>
        <v>0.43765384075807623</v>
      </c>
      <c r="Y16" s="111">
        <f>Datasheet!AV16+Datasheet!AS16</f>
        <v>65425</v>
      </c>
      <c r="Z16" s="117">
        <f>Datasheet!AW16/(Datasheet!AS16+Datasheet!AV16)</f>
        <v>0.52548719908291941</v>
      </c>
      <c r="AA16" s="111">
        <f>Datasheet!AX16+Datasheet!AT16</f>
        <v>73587</v>
      </c>
      <c r="AB16" s="119">
        <f>Datasheet!AY16/(Datasheet!AT16+Datasheet!AX16)</f>
        <v>0.59412667998423629</v>
      </c>
      <c r="AC16" s="119">
        <f>Datasheet!AU16/(Datasheet!AU16+Datasheet!AZ16)</f>
        <v>0.97538268731537014</v>
      </c>
      <c r="AD16" s="119">
        <f>Datasheet!AZ16/(Datasheet!AU16+Datasheet!AZ16)</f>
        <v>2.4617312684629845E-2</v>
      </c>
      <c r="AE16" s="117">
        <f>(Datasheet!BB16-Datasheet!BA16)/Datasheet!BA16</f>
        <v>9.4337774294670843E-2</v>
      </c>
      <c r="AF16" s="118">
        <f>(Datasheet!AX16+Datasheet!AT16)/Datasheet!BB16</f>
        <v>0.59884766562772118</v>
      </c>
      <c r="AG16" s="111">
        <f>(Datasheet!AP16*1000)/Datasheet!E16</f>
        <v>710.73197251174372</v>
      </c>
      <c r="AH16" s="119">
        <f>Datasheet!BW16/SUM(Datasheet!$BW16:$BZ16)</f>
        <v>0.75985663082437271</v>
      </c>
      <c r="AI16" s="119">
        <f>Datasheet!BX16/SUM(Datasheet!$BW16:$BZ16)</f>
        <v>7.8853046594982074E-2</v>
      </c>
      <c r="AJ16" s="119">
        <f>Datasheet!BY16/SUM(Datasheet!$BW16:$BZ16)</f>
        <v>3.9426523297491037E-2</v>
      </c>
      <c r="AK16" s="119">
        <f>Datasheet!BZ16/SUM(Datasheet!$BW16:$BZ16)</f>
        <v>0.12186379928315412</v>
      </c>
      <c r="AL16" s="31">
        <f>Datasheet!BR16+Datasheet!BS16</f>
        <v>27</v>
      </c>
      <c r="AM16" s="31">
        <f>100-Datasheet!BV16</f>
        <v>44</v>
      </c>
      <c r="AN16" s="121">
        <f>(Datasheet!CL16-Datasheet!CK16)/Datasheet!CK16</f>
        <v>0.14249363867684478</v>
      </c>
    </row>
    <row r="17" spans="1:40">
      <c r="A17" s="42" t="s">
        <v>119</v>
      </c>
      <c r="B17" s="42" t="s">
        <v>120</v>
      </c>
      <c r="C17" s="42" t="s">
        <v>121</v>
      </c>
      <c r="D17" s="116">
        <f>Datasheet!G17/Datasheet!E17</f>
        <v>0.72765085261253459</v>
      </c>
      <c r="E17" s="116">
        <f>Datasheet!I17/Datasheet!E17</f>
        <v>0.27234914738746535</v>
      </c>
      <c r="F17" s="116">
        <f>(Datasheet!E17-Datasheet!D17)/Datasheet!D17</f>
        <v>3.7484410077326016E-2</v>
      </c>
      <c r="G17" s="116">
        <f>(Datasheet!G17-Datasheet!F17)/Datasheet!F17</f>
        <v>1.9238055146284991E-2</v>
      </c>
      <c r="H17" s="116">
        <f>(Datasheet!I17-Datasheet!H17)/Datasheet!H17</f>
        <v>8.9599615245881933E-2</v>
      </c>
      <c r="I17" s="116">
        <f>(Datasheet!K17-Datasheet!J17)/Datasheet!J17</f>
        <v>7.9598422373610613E-3</v>
      </c>
      <c r="J17" s="116">
        <f>Datasheet!F17/Datasheet!D17</f>
        <v>0.74067722624095789</v>
      </c>
      <c r="K17" s="116">
        <f>Datasheet!H17/Datasheet!D17</f>
        <v>0.25932277375904217</v>
      </c>
      <c r="L17" s="116">
        <f>Datasheet!R17/Datasheet!Q17</f>
        <v>0.87906976744186049</v>
      </c>
      <c r="M17" s="117">
        <f>(Datasheet!AB17-Datasheet!AA17)/Datasheet!AA17</f>
        <v>4.1628959276018097E-2</v>
      </c>
      <c r="N17" s="118">
        <f>Datasheet!AC17/Datasheet!E17</f>
        <v>1.6799802850256354E-2</v>
      </c>
      <c r="O17" s="111">
        <f>SUM(Datasheet!AD17:AG17)</f>
        <v>1505</v>
      </c>
      <c r="P17" s="111">
        <f>SUM(Datasheet!AH17:AK17)</f>
        <v>2035</v>
      </c>
      <c r="Q17" s="111">
        <f t="shared" si="0"/>
        <v>3540</v>
      </c>
      <c r="R17" s="118">
        <f>Q17/Datasheet!AC17</f>
        <v>0.63327370304114494</v>
      </c>
      <c r="S17" s="118">
        <f>Datasheet!AL17/Datasheet!G17</f>
        <v>7.3930282504543199E-3</v>
      </c>
      <c r="T17" s="118">
        <f>Datasheet!AM17/Datasheet!I17</f>
        <v>4.1932422590540926E-2</v>
      </c>
      <c r="U17" s="119">
        <f>O17/Datasheet!AL17</f>
        <v>0.84078212290502796</v>
      </c>
      <c r="V17" s="119">
        <f>P17/Datasheet!AM17</f>
        <v>0.53552631578947374</v>
      </c>
      <c r="W17" s="120">
        <f>((Datasheet!AP17-Datasheet!AO17)/Datasheet!AO17)*100</f>
        <v>11.79542776337497</v>
      </c>
      <c r="X17" s="119">
        <f>Datasheet!AQ17/Datasheet!AR17</f>
        <v>0.55197983174855447</v>
      </c>
      <c r="Y17" s="111">
        <f>Datasheet!AV17+Datasheet!AS17</f>
        <v>85927</v>
      </c>
      <c r="Z17" s="117">
        <f>Datasheet!AW17/(Datasheet!AS17+Datasheet!AV17)</f>
        <v>0.63269984987256622</v>
      </c>
      <c r="AA17" s="111">
        <f>Datasheet!AX17+Datasheet!AT17</f>
        <v>119365</v>
      </c>
      <c r="AB17" s="119">
        <f>Datasheet!AY17/(Datasheet!AT17+Datasheet!AX17)</f>
        <v>0.36207430988983369</v>
      </c>
      <c r="AC17" s="119">
        <f>Datasheet!AU17/(Datasheet!AU17+Datasheet!AZ17)</f>
        <v>0.99902790739012581</v>
      </c>
      <c r="AD17" s="119">
        <f>Datasheet!AZ17/(Datasheet!AU17+Datasheet!AZ17)</f>
        <v>9.7209260987423903E-4</v>
      </c>
      <c r="AE17" s="117">
        <f>(Datasheet!BB17-Datasheet!BA17)/Datasheet!BA17</f>
        <v>5.7757617777359951E-2</v>
      </c>
      <c r="AF17" s="118">
        <f>(Datasheet!AX17+Datasheet!AT17)/Datasheet!BB17</f>
        <v>0.6630504821579345</v>
      </c>
      <c r="AG17" s="111">
        <f>(Datasheet!AP17*1000)/Datasheet!E17</f>
        <v>712.78648322123445</v>
      </c>
      <c r="AH17" s="119">
        <f>Datasheet!BW17/SUM(Datasheet!$BW17:$BZ17)</f>
        <v>0.72727272727272729</v>
      </c>
      <c r="AI17" s="119">
        <f>Datasheet!BX17/SUM(Datasheet!$BW17:$BZ17)</f>
        <v>8.6956521739130432E-2</v>
      </c>
      <c r="AJ17" s="119">
        <f>Datasheet!BY17/SUM(Datasheet!$BW17:$BZ17)</f>
        <v>4.3478260869565216E-2</v>
      </c>
      <c r="AK17" s="119">
        <f>Datasheet!BZ17/SUM(Datasheet!$BW17:$BZ17)</f>
        <v>0.14229249011857709</v>
      </c>
      <c r="AL17" s="31">
        <f>Datasheet!BR17+Datasheet!BS17</f>
        <v>46</v>
      </c>
      <c r="AM17" s="31">
        <f>100-Datasheet!BV17</f>
        <v>36</v>
      </c>
      <c r="AN17" s="121">
        <f>(Datasheet!CL17-Datasheet!CK17)/Datasheet!CK17</f>
        <v>0.18524871355060035</v>
      </c>
    </row>
    <row r="18" spans="1:40">
      <c r="A18" s="42" t="s">
        <v>122</v>
      </c>
      <c r="B18" s="42" t="s">
        <v>123</v>
      </c>
      <c r="C18" s="42" t="s">
        <v>124</v>
      </c>
      <c r="D18" s="116">
        <f>Datasheet!G18/Datasheet!E18</f>
        <v>0.78988474444390411</v>
      </c>
      <c r="E18" s="116">
        <f>Datasheet!I18/Datasheet!E18</f>
        <v>0.21011525555609589</v>
      </c>
      <c r="F18" s="116">
        <f>(Datasheet!E18-Datasheet!D18)/Datasheet!D18</f>
        <v>0.12450919272456826</v>
      </c>
      <c r="G18" s="116">
        <f>(Datasheet!G18-Datasheet!F18)/Datasheet!F18</f>
        <v>7.9530500206037566E-2</v>
      </c>
      <c r="H18" s="116">
        <f>(Datasheet!I18-Datasheet!H18)/Datasheet!H18</f>
        <v>0.333353906925071</v>
      </c>
      <c r="I18" s="116">
        <f>(Datasheet!K18-Datasheet!J18)/Datasheet!J18</f>
        <v>0.36109750122488976</v>
      </c>
      <c r="J18" s="116">
        <f>Datasheet!F18/Datasheet!D18</f>
        <v>0.8227953319989938</v>
      </c>
      <c r="K18" s="116">
        <f>Datasheet!H18/Datasheet!D18</f>
        <v>0.17720466800100623</v>
      </c>
      <c r="L18" s="116">
        <f>Datasheet!R18/Datasheet!Q18</f>
        <v>0.84848484848484851</v>
      </c>
      <c r="M18" s="117">
        <f>(Datasheet!AB18-Datasheet!AA18)/Datasheet!AA18</f>
        <v>8.6230876216968011E-2</v>
      </c>
      <c r="N18" s="118">
        <f>Datasheet!AC18/Datasheet!E18</f>
        <v>1.4103000534941399E-2</v>
      </c>
      <c r="O18" s="111">
        <f>SUM(Datasheet!AD18:AG18)</f>
        <v>465</v>
      </c>
      <c r="P18" s="111">
        <f>SUM(Datasheet!AH18:AK18)</f>
        <v>555</v>
      </c>
      <c r="Q18" s="111">
        <f t="shared" si="0"/>
        <v>1020</v>
      </c>
      <c r="R18" s="118">
        <f>Q18/Datasheet!AC18</f>
        <v>0.70344827586206893</v>
      </c>
      <c r="S18" s="118">
        <f>Datasheet!AL18/Datasheet!G18</f>
        <v>6.3414273752647396E-3</v>
      </c>
      <c r="T18" s="118">
        <f>Datasheet!AM18/Datasheet!I18</f>
        <v>4.3281025783456002E-2</v>
      </c>
      <c r="U18" s="119">
        <f>O18/Datasheet!AL18</f>
        <v>0.90291262135922334</v>
      </c>
      <c r="V18" s="119">
        <f>P18/Datasheet!AM18</f>
        <v>0.5935828877005348</v>
      </c>
      <c r="W18" s="120">
        <f>((Datasheet!AP18-Datasheet!AO18)/Datasheet!AO18)*100</f>
        <v>8.0415737238547838</v>
      </c>
      <c r="X18" s="119">
        <f>Datasheet!AQ18/Datasheet!AR18</f>
        <v>0.48841236128525978</v>
      </c>
      <c r="Y18" s="111">
        <f>Datasheet!AV18+Datasheet!AS18</f>
        <v>20190</v>
      </c>
      <c r="Z18" s="117">
        <f>Datasheet!AW18/(Datasheet!AS18+Datasheet!AV18)</f>
        <v>0.77315502724120855</v>
      </c>
      <c r="AA18" s="111">
        <f>Datasheet!AX18+Datasheet!AT18</f>
        <v>28794</v>
      </c>
      <c r="AB18" s="119">
        <f>Datasheet!AY18/(Datasheet!AT18+Datasheet!AX18)</f>
        <v>0.3217684239772175</v>
      </c>
      <c r="AC18" s="119">
        <f>Datasheet!AU18/(Datasheet!AU18+Datasheet!AZ18)</f>
        <v>0.94472919870152061</v>
      </c>
      <c r="AD18" s="119">
        <f>Datasheet!AZ18/(Datasheet!AU18+Datasheet!AZ18)</f>
        <v>5.5270801298479409E-2</v>
      </c>
      <c r="AE18" s="117">
        <f>(Datasheet!BB18-Datasheet!BA18)/Datasheet!BA18</f>
        <v>2.9347754402163161E-2</v>
      </c>
      <c r="AF18" s="118">
        <f>(Datasheet!AX18+Datasheet!AT18)/Datasheet!BB18</f>
        <v>0.61494105586878522</v>
      </c>
      <c r="AG18" s="111">
        <f>(Datasheet!AP18*1000)/Datasheet!E18</f>
        <v>650.10941983173666</v>
      </c>
      <c r="AH18" s="119">
        <f>Datasheet!BW18/SUM(Datasheet!$BW18:$BZ18)</f>
        <v>0.69767441860465118</v>
      </c>
      <c r="AI18" s="119">
        <f>Datasheet!BX18/SUM(Datasheet!$BW18:$BZ18)</f>
        <v>9.3023255813953487E-2</v>
      </c>
      <c r="AJ18" s="119">
        <f>Datasheet!BY18/SUM(Datasheet!$BW18:$BZ18)</f>
        <v>6.9767441860465115E-2</v>
      </c>
      <c r="AK18" s="119">
        <f>Datasheet!BZ18/SUM(Datasheet!$BW18:$BZ18)</f>
        <v>0.13953488372093023</v>
      </c>
      <c r="AL18" s="31">
        <f>Datasheet!BR18+Datasheet!BS18</f>
        <v>42</v>
      </c>
      <c r="AM18" s="31">
        <f>100-Datasheet!BV18</f>
        <v>39</v>
      </c>
      <c r="AN18" s="121">
        <f>(Datasheet!CL18-Datasheet!CK18)/Datasheet!CK18</f>
        <v>0.1875</v>
      </c>
    </row>
    <row r="19" spans="1:40">
      <c r="A19" s="42" t="s">
        <v>125</v>
      </c>
      <c r="B19" s="42" t="s">
        <v>126</v>
      </c>
      <c r="C19" s="42" t="s">
        <v>127</v>
      </c>
      <c r="D19" s="116">
        <f>Datasheet!G19/Datasheet!E19</f>
        <v>0.78628636633826454</v>
      </c>
      <c r="E19" s="116">
        <f>Datasheet!I19/Datasheet!E19</f>
        <v>0.21371363366173546</v>
      </c>
      <c r="F19" s="116">
        <f>(Datasheet!E19-Datasheet!D19)/Datasheet!D19</f>
        <v>6.1751331951111946E-2</v>
      </c>
      <c r="G19" s="116">
        <f>(Datasheet!G19-Datasheet!F19)/Datasheet!F19</f>
        <v>3.4774932140343821E-2</v>
      </c>
      <c r="H19" s="116">
        <f>(Datasheet!I19-Datasheet!H19)/Datasheet!H19</f>
        <v>0.17439328348419258</v>
      </c>
      <c r="I19" s="116">
        <f>(Datasheet!K19-Datasheet!J19)/Datasheet!J19</f>
        <v>0.179466772781536</v>
      </c>
      <c r="J19" s="116">
        <f>Datasheet!F19/Datasheet!D19</f>
        <v>0.806784713104574</v>
      </c>
      <c r="K19" s="116">
        <f>Datasheet!H19/Datasheet!D19</f>
        <v>0.193215286895426</v>
      </c>
      <c r="L19" s="116">
        <f>Datasheet!R19/Datasheet!Q19</f>
        <v>0.89333333333333331</v>
      </c>
      <c r="M19" s="117">
        <f>(Datasheet!AB19-Datasheet!AA19)/Datasheet!AA19</f>
        <v>9.575251657255094E-3</v>
      </c>
      <c r="N19" s="118">
        <f>Datasheet!AC19/Datasheet!E19</f>
        <v>1.8680009644375585E-2</v>
      </c>
      <c r="O19" s="111">
        <f>SUM(Datasheet!AD19:AG19)</f>
        <v>2815</v>
      </c>
      <c r="P19" s="111">
        <f>SUM(Datasheet!AH19:AK19)</f>
        <v>3095</v>
      </c>
      <c r="Q19" s="111">
        <f t="shared" si="0"/>
        <v>5910</v>
      </c>
      <c r="R19" s="118">
        <f>Q19/Datasheet!AC19</f>
        <v>0.75527156549520769</v>
      </c>
      <c r="S19" s="118">
        <f>Datasheet!AL19/Datasheet!G19</f>
        <v>9.3966414976333814E-3</v>
      </c>
      <c r="T19" s="118">
        <f>Datasheet!AM19/Datasheet!I19</f>
        <v>5.2834993968097939E-2</v>
      </c>
      <c r="U19" s="119">
        <f>O19/Datasheet!AL19</f>
        <v>0.9095315024232633</v>
      </c>
      <c r="V19" s="119">
        <f>P19/Datasheet!AM19</f>
        <v>0.65433403805496826</v>
      </c>
      <c r="W19" s="120">
        <f>((Datasheet!AP19-Datasheet!AO19)/Datasheet!AO19)*100</f>
        <v>9.0255654252505959</v>
      </c>
      <c r="X19" s="119">
        <f>Datasheet!AQ19/Datasheet!AR19</f>
        <v>0.4036230874477989</v>
      </c>
      <c r="Y19" s="111">
        <f>Datasheet!AV19+Datasheet!AS19</f>
        <v>115578</v>
      </c>
      <c r="Z19" s="117">
        <f>Datasheet!AW19/(Datasheet!AS19+Datasheet!AV19)</f>
        <v>0.55045942999532782</v>
      </c>
      <c r="AA19" s="111">
        <f>Datasheet!AX19+Datasheet!AT19</f>
        <v>97800</v>
      </c>
      <c r="AB19" s="119">
        <f>Datasheet!AY19/(Datasheet!AT19+Datasheet!AX19)</f>
        <v>0.7401738241308794</v>
      </c>
      <c r="AC19" s="119">
        <f>Datasheet!AU19/(Datasheet!AU19+Datasheet!AZ19)</f>
        <v>0.93829987388095193</v>
      </c>
      <c r="AD19" s="119">
        <f>Datasheet!AZ19/(Datasheet!AU19+Datasheet!AZ19)</f>
        <v>6.1700126119048113E-2</v>
      </c>
      <c r="AE19" s="117">
        <f>(Datasheet!BB19-Datasheet!BA19)/Datasheet!BA19</f>
        <v>6.3326481483517091E-2</v>
      </c>
      <c r="AF19" s="118">
        <f>(Datasheet!AX19+Datasheet!AT19)/Datasheet!BB19</f>
        <v>0.50550995513469932</v>
      </c>
      <c r="AG19" s="111">
        <f>(Datasheet!AP19*1000)/Datasheet!E19</f>
        <v>624.97941021301176</v>
      </c>
      <c r="AH19" s="119">
        <f>Datasheet!BW19/SUM(Datasheet!$BW19:$BZ19)</f>
        <v>0.72916666666666663</v>
      </c>
      <c r="AI19" s="119">
        <f>Datasheet!BX19/SUM(Datasheet!$BW19:$BZ19)</f>
        <v>9.0277777777777776E-2</v>
      </c>
      <c r="AJ19" s="119">
        <f>Datasheet!BY19/SUM(Datasheet!$BW19:$BZ19)</f>
        <v>4.1666666666666664E-2</v>
      </c>
      <c r="AK19" s="119">
        <f>Datasheet!BZ19/SUM(Datasheet!$BW19:$BZ19)</f>
        <v>0.1388888888888889</v>
      </c>
      <c r="AL19" s="31">
        <f>Datasheet!BR19+Datasheet!BS19</f>
        <v>20</v>
      </c>
      <c r="AM19" s="31">
        <f>100-Datasheet!BV19</f>
        <v>44</v>
      </c>
      <c r="AN19" s="121">
        <f>(Datasheet!CL19-Datasheet!CK19)/Datasheet!CK19</f>
        <v>-0.43961352657004832</v>
      </c>
    </row>
    <row r="20" spans="1:40">
      <c r="A20" s="42" t="s">
        <v>128</v>
      </c>
      <c r="B20" s="42" t="s">
        <v>129</v>
      </c>
      <c r="C20" s="42" t="s">
        <v>130</v>
      </c>
      <c r="D20" s="116">
        <f>Datasheet!G20/Datasheet!E20</f>
        <v>0.84171625007117234</v>
      </c>
      <c r="E20" s="116">
        <f>Datasheet!I20/Datasheet!E20</f>
        <v>0.15828374992882766</v>
      </c>
      <c r="F20" s="116">
        <f>(Datasheet!E20-Datasheet!D20)/Datasheet!D20</f>
        <v>7.8477126189745158E-2</v>
      </c>
      <c r="G20" s="116">
        <f>(Datasheet!G20-Datasheet!F20)/Datasheet!F20</f>
        <v>5.128205128205128E-2</v>
      </c>
      <c r="H20" s="116">
        <f>(Datasheet!I20-Datasheet!H20)/Datasheet!H20</f>
        <v>0.25049903005426072</v>
      </c>
      <c r="I20" s="116">
        <f>(Datasheet!K20-Datasheet!J20)/Datasheet!J20</f>
        <v>0.37575899112564221</v>
      </c>
      <c r="J20" s="116">
        <f>Datasheet!F20/Datasheet!D20</f>
        <v>0.86349017500767578</v>
      </c>
      <c r="K20" s="116">
        <f>Datasheet!H20/Datasheet!D20</f>
        <v>0.13650982499232422</v>
      </c>
      <c r="L20" s="116">
        <f>Datasheet!R20/Datasheet!Q20</f>
        <v>0.84</v>
      </c>
      <c r="M20" s="117">
        <f>(Datasheet!AB20-Datasheet!AA20)/Datasheet!AA20</f>
        <v>3.968253968253968E-2</v>
      </c>
      <c r="N20" s="118">
        <f>Datasheet!AC20/Datasheet!E20</f>
        <v>1.8629362865114161E-2</v>
      </c>
      <c r="O20" s="111">
        <f>SUM(Datasheet!AD20:AG20)</f>
        <v>1635</v>
      </c>
      <c r="P20" s="111">
        <f>SUM(Datasheet!AH20:AK20)</f>
        <v>2790</v>
      </c>
      <c r="Q20" s="111">
        <f t="shared" si="0"/>
        <v>4425</v>
      </c>
      <c r="R20" s="118">
        <f>Q20/Datasheet!AC20</f>
        <v>0.8452722063037249</v>
      </c>
      <c r="S20" s="118">
        <f>Datasheet!AL20/Datasheet!G20</f>
        <v>7.6734776708141496E-3</v>
      </c>
      <c r="T20" s="118">
        <f>Datasheet!AM20/Datasheet!I20</f>
        <v>7.6890217855617254E-2</v>
      </c>
      <c r="U20" s="119">
        <f>O20/Datasheet!AL20</f>
        <v>0.90082644628099173</v>
      </c>
      <c r="V20" s="119">
        <f>P20/Datasheet!AM20</f>
        <v>0.81578947368421051</v>
      </c>
      <c r="W20" s="120">
        <f>((Datasheet!AP20-Datasheet!AO20)/Datasheet!AO20)*100</f>
        <v>-22.823477132802477</v>
      </c>
      <c r="X20" s="119">
        <f>Datasheet!AQ20/Datasheet!AR20</f>
        <v>0.49533617976677746</v>
      </c>
      <c r="Y20" s="111">
        <f>Datasheet!AV20+Datasheet!AS20</f>
        <v>58504</v>
      </c>
      <c r="Z20" s="117">
        <f>Datasheet!AW20/(Datasheet!AS20+Datasheet!AV20)</f>
        <v>0.66455285108710516</v>
      </c>
      <c r="AA20" s="111">
        <f>Datasheet!AX20+Datasheet!AT20</f>
        <v>58980</v>
      </c>
      <c r="AB20" s="119">
        <f>Datasheet!AY20/(Datasheet!AT20+Datasheet!AX20)</f>
        <v>0.91093591047812816</v>
      </c>
      <c r="AC20" s="119">
        <f>Datasheet!AU20/(Datasheet!AU20+Datasheet!AZ20)</f>
        <v>0.8973623322535863</v>
      </c>
      <c r="AD20" s="119">
        <f>Datasheet!AZ20/(Datasheet!AU20+Datasheet!AZ20)</f>
        <v>0.1026376677464137</v>
      </c>
      <c r="AE20" s="117">
        <f>(Datasheet!BB20-Datasheet!BA20)/Datasheet!BA20</f>
        <v>0.174722536806342</v>
      </c>
      <c r="AF20" s="118">
        <f>(Datasheet!AX20+Datasheet!AT20)/Datasheet!BB20</f>
        <v>0.45488199907450255</v>
      </c>
      <c r="AG20" s="111">
        <f>(Datasheet!AP20*1000)/Datasheet!E20</f>
        <v>383.18837897853444</v>
      </c>
      <c r="AH20" s="119">
        <f>Datasheet!BW20/SUM(Datasheet!$BW20:$BZ20)</f>
        <v>0.79032258064516125</v>
      </c>
      <c r="AI20" s="119">
        <f>Datasheet!BX20/SUM(Datasheet!$BW20:$BZ20)</f>
        <v>8.0645161290322578E-2</v>
      </c>
      <c r="AJ20" s="119">
        <f>Datasheet!BY20/SUM(Datasheet!$BW20:$BZ20)</f>
        <v>4.0322580645161289E-2</v>
      </c>
      <c r="AK20" s="119">
        <f>Datasheet!BZ20/SUM(Datasheet!$BW20:$BZ20)</f>
        <v>8.8709677419354843E-2</v>
      </c>
      <c r="AL20" s="31">
        <f>Datasheet!BR20+Datasheet!BS20</f>
        <v>56</v>
      </c>
      <c r="AM20" s="31">
        <f>100-Datasheet!BV20</f>
        <v>83</v>
      </c>
      <c r="AN20" s="121">
        <f>(Datasheet!CL20-Datasheet!CK20)/Datasheet!CK20</f>
        <v>0.16352201257861634</v>
      </c>
    </row>
    <row r="21" spans="1:40">
      <c r="A21" s="42" t="s">
        <v>131</v>
      </c>
      <c r="B21" s="42" t="s">
        <v>132</v>
      </c>
      <c r="C21" s="42" t="s">
        <v>133</v>
      </c>
      <c r="D21" s="116">
        <f>Datasheet!G21/Datasheet!E21</f>
        <v>0.82544586493198102</v>
      </c>
      <c r="E21" s="116">
        <f>Datasheet!I21/Datasheet!E21</f>
        <v>0.17455413506801895</v>
      </c>
      <c r="F21" s="116">
        <f>(Datasheet!E21-Datasheet!D21)/Datasheet!D21</f>
        <v>5.3290238489449394E-2</v>
      </c>
      <c r="G21" s="116">
        <f>(Datasheet!G21-Datasheet!F21)/Datasheet!F21</f>
        <v>4.3258409155755635E-2</v>
      </c>
      <c r="H21" s="116">
        <f>(Datasheet!I21-Datasheet!H21)/Datasheet!H21</f>
        <v>0.10346741371108409</v>
      </c>
      <c r="I21" s="116">
        <f>(Datasheet!K21-Datasheet!J21)/Datasheet!J21</f>
        <v>-4.715392388009431E-2</v>
      </c>
      <c r="J21" s="116">
        <f>Datasheet!F21/Datasheet!D21</f>
        <v>0.8333832388064959</v>
      </c>
      <c r="K21" s="116">
        <f>Datasheet!H21/Datasheet!D21</f>
        <v>0.16661676119350408</v>
      </c>
      <c r="L21" s="116">
        <f>Datasheet!R21/Datasheet!Q21</f>
        <v>0.86857142857142855</v>
      </c>
      <c r="M21" s="117">
        <f>(Datasheet!AB21-Datasheet!AA21)/Datasheet!AA21</f>
        <v>-5.6737588652482273E-3</v>
      </c>
      <c r="N21" s="118">
        <f>Datasheet!AC21/Datasheet!E21</f>
        <v>1.8520221740984458E-2</v>
      </c>
      <c r="O21" s="111">
        <f>SUM(Datasheet!AD21:AG21)</f>
        <v>1720</v>
      </c>
      <c r="P21" s="111">
        <f>SUM(Datasheet!AH21:AK21)</f>
        <v>1330</v>
      </c>
      <c r="Q21" s="111">
        <f t="shared" si="0"/>
        <v>3050</v>
      </c>
      <c r="R21" s="118">
        <f>Q21/Datasheet!AC21</f>
        <v>0.68848758465011284</v>
      </c>
      <c r="S21" s="118">
        <f>Datasheet!AL21/Datasheet!G21</f>
        <v>1.0382638203043885E-2</v>
      </c>
      <c r="T21" s="118">
        <f>Datasheet!AM21/Datasheet!I21</f>
        <v>5.7001892079611045E-2</v>
      </c>
      <c r="U21" s="119">
        <f>O21/Datasheet!AL21</f>
        <v>0.83902439024390241</v>
      </c>
      <c r="V21" s="119">
        <f>P21/Datasheet!AM21</f>
        <v>0.55882352941176472</v>
      </c>
      <c r="W21" s="120">
        <f>((Datasheet!AP21-Datasheet!AO21)/Datasheet!AO21)*100</f>
        <v>7.0311084617587412</v>
      </c>
      <c r="X21" s="119">
        <f>Datasheet!AQ21/Datasheet!AR21</f>
        <v>0.53717315865927795</v>
      </c>
      <c r="Y21" s="111">
        <f>Datasheet!AV21+Datasheet!AS21</f>
        <v>86974</v>
      </c>
      <c r="Z21" s="117">
        <f>Datasheet!AW21/(Datasheet!AS21+Datasheet!AV21)</f>
        <v>0.59261388460919351</v>
      </c>
      <c r="AA21" s="111">
        <f>Datasheet!AX21+Datasheet!AT21</f>
        <v>79259</v>
      </c>
      <c r="AB21" s="119">
        <f>Datasheet!AY21/(Datasheet!AT21+Datasheet!AX21)</f>
        <v>0.53077883899620237</v>
      </c>
      <c r="AC21" s="119">
        <f>Datasheet!AU21/(Datasheet!AU21+Datasheet!AZ21)</f>
        <v>0.92491727182301042</v>
      </c>
      <c r="AD21" s="119">
        <f>Datasheet!AZ21/(Datasheet!AU21+Datasheet!AZ21)</f>
        <v>7.5082728176989535E-2</v>
      </c>
      <c r="AE21" s="117">
        <f>(Datasheet!BB21-Datasheet!BA21)/Datasheet!BA21</f>
        <v>8.6815516144986934E-2</v>
      </c>
      <c r="AF21" s="118">
        <f>(Datasheet!AX21+Datasheet!AT21)/Datasheet!BB21</f>
        <v>0.5152811457771248</v>
      </c>
      <c r="AG21" s="111">
        <f>(Datasheet!AP21*1000)/Datasheet!E21</f>
        <v>765.65021446667618</v>
      </c>
      <c r="AH21" s="119">
        <f>Datasheet!BW21/SUM(Datasheet!$BW21:$BZ21)</f>
        <v>0.71755725190839692</v>
      </c>
      <c r="AI21" s="119">
        <f>Datasheet!BX21/SUM(Datasheet!$BW21:$BZ21)</f>
        <v>9.9236641221374045E-2</v>
      </c>
      <c r="AJ21" s="119">
        <f>Datasheet!BY21/SUM(Datasheet!$BW21:$BZ21)</f>
        <v>5.3435114503816793E-2</v>
      </c>
      <c r="AK21" s="119">
        <f>Datasheet!BZ21/SUM(Datasheet!$BW21:$BZ21)</f>
        <v>0.12977099236641221</v>
      </c>
      <c r="AL21" s="31">
        <f>Datasheet!BR21+Datasheet!BS21</f>
        <v>30</v>
      </c>
      <c r="AM21" s="31">
        <f>100-Datasheet!BV21</f>
        <v>29</v>
      </c>
      <c r="AN21" s="121">
        <f>(Datasheet!CL21-Datasheet!CK21)/Datasheet!CK21</f>
        <v>8.3333333333333329E-2</v>
      </c>
    </row>
    <row r="22" spans="1:40">
      <c r="A22" s="42" t="s">
        <v>134</v>
      </c>
      <c r="B22" s="42" t="s">
        <v>135</v>
      </c>
      <c r="C22" s="42" t="s">
        <v>136</v>
      </c>
      <c r="D22" s="116">
        <f>Datasheet!G22/Datasheet!E22</f>
        <v>0.84476994657935556</v>
      </c>
      <c r="E22" s="116">
        <f>Datasheet!I22/Datasheet!E22</f>
        <v>0.1552300534206445</v>
      </c>
      <c r="F22" s="116">
        <f>(Datasheet!E22-Datasheet!D22)/Datasheet!D22</f>
        <v>0.12945605600985399</v>
      </c>
      <c r="G22" s="116">
        <f>(Datasheet!G22-Datasheet!F22)/Datasheet!F22</f>
        <v>0.14221710359886561</v>
      </c>
      <c r="H22" s="116">
        <f>(Datasheet!I22-Datasheet!H22)/Datasheet!H22</f>
        <v>6.4721476453404925E-2</v>
      </c>
      <c r="I22" s="116">
        <f>(Datasheet!K22-Datasheet!J22)/Datasheet!J22</f>
        <v>-4.3090969825186502E-2</v>
      </c>
      <c r="J22" s="116">
        <f>Datasheet!F22/Datasheet!D22</f>
        <v>0.8353320302181837</v>
      </c>
      <c r="K22" s="116">
        <f>Datasheet!H22/Datasheet!D22</f>
        <v>0.16466796978181625</v>
      </c>
      <c r="L22" s="116">
        <f>Datasheet!R22/Datasheet!Q22</f>
        <v>0.84677419354838712</v>
      </c>
      <c r="M22" s="117">
        <f>(Datasheet!AB22-Datasheet!AA22)/Datasheet!AA22</f>
        <v>4.9387166546503242E-2</v>
      </c>
      <c r="N22" s="118">
        <f>Datasheet!AC22/Datasheet!E22</f>
        <v>1.7170921444573006E-2</v>
      </c>
      <c r="O22" s="111">
        <f>SUM(Datasheet!AD22:AG22)</f>
        <v>2690</v>
      </c>
      <c r="P22" s="111">
        <f>SUM(Datasheet!AH22:AK22)</f>
        <v>2250</v>
      </c>
      <c r="Q22" s="111">
        <f t="shared" si="0"/>
        <v>4940</v>
      </c>
      <c r="R22" s="118">
        <f>Q22/Datasheet!AC22</f>
        <v>0.70824372759856635</v>
      </c>
      <c r="S22" s="118">
        <f>Datasheet!AL22/Datasheet!G22</f>
        <v>9.223264190421793E-3</v>
      </c>
      <c r="T22" s="118">
        <f>Datasheet!AM22/Datasheet!I22</f>
        <v>6.0422481603653898E-2</v>
      </c>
      <c r="U22" s="119">
        <f>O22/Datasheet!AL22</f>
        <v>0.84992101105845186</v>
      </c>
      <c r="V22" s="119">
        <f>P22/Datasheet!AM22</f>
        <v>0.59055118110236215</v>
      </c>
      <c r="W22" s="120">
        <f>((Datasheet!AP22-Datasheet!AO22)/Datasheet!AO22)*100</f>
        <v>0.53212070738151651</v>
      </c>
      <c r="X22" s="119">
        <f>Datasheet!AQ22/Datasheet!AR22</f>
        <v>0.52311724590191855</v>
      </c>
      <c r="Y22" s="111">
        <f>Datasheet!AV22+Datasheet!AS22</f>
        <v>136952</v>
      </c>
      <c r="Z22" s="117">
        <f>Datasheet!AW22/(Datasheet!AS22+Datasheet!AV22)</f>
        <v>0.53237630702727967</v>
      </c>
      <c r="AA22" s="111">
        <f>Datasheet!AX22+Datasheet!AT22</f>
        <v>95857</v>
      </c>
      <c r="AB22" s="119">
        <f>Datasheet!AY22/(Datasheet!AT22+Datasheet!AX22)</f>
        <v>0.61498899402234575</v>
      </c>
      <c r="AC22" s="119">
        <f>Datasheet!AU22/(Datasheet!AU22+Datasheet!AZ22)</f>
        <v>0.95303993137615317</v>
      </c>
      <c r="AD22" s="119">
        <f>Datasheet!AZ22/(Datasheet!AU22+Datasheet!AZ22)</f>
        <v>4.6960068623846787E-2</v>
      </c>
      <c r="AE22" s="117">
        <f>(Datasheet!BB22-Datasheet!BA22)/Datasheet!BA22</f>
        <v>4.8869384794763271E-2</v>
      </c>
      <c r="AF22" s="118">
        <f>(Datasheet!AX22+Datasheet!AT22)/Datasheet!BB22</f>
        <v>0.41952015825499361</v>
      </c>
      <c r="AG22" s="111">
        <f>(Datasheet!AP22*1000)/Datasheet!E22</f>
        <v>671.60089608823023</v>
      </c>
      <c r="AH22" s="119">
        <f>Datasheet!BW22/SUM(Datasheet!$BW22:$BZ22)</f>
        <v>0.72796934865900387</v>
      </c>
      <c r="AI22" s="119">
        <f>Datasheet!BX22/SUM(Datasheet!$BW22:$BZ22)</f>
        <v>8.4291187739463605E-2</v>
      </c>
      <c r="AJ22" s="119">
        <f>Datasheet!BY22/SUM(Datasheet!$BW22:$BZ22)</f>
        <v>4.2145593869731802E-2</v>
      </c>
      <c r="AK22" s="119">
        <f>Datasheet!BZ22/SUM(Datasheet!$BW22:$BZ22)</f>
        <v>0.14559386973180077</v>
      </c>
      <c r="AL22" s="31">
        <f>Datasheet!BR22+Datasheet!BS22</f>
        <v>26</v>
      </c>
      <c r="AM22" s="31">
        <f>100-Datasheet!BV22</f>
        <v>34</v>
      </c>
      <c r="AN22" s="121">
        <f>(Datasheet!CL22-Datasheet!CK22)/Datasheet!CK22</f>
        <v>5.8309037900874635E-3</v>
      </c>
    </row>
    <row r="23" spans="1:40">
      <c r="A23" s="42" t="s">
        <v>137</v>
      </c>
      <c r="B23" s="42" t="s">
        <v>138</v>
      </c>
      <c r="C23" s="42" t="s">
        <v>139</v>
      </c>
      <c r="D23" s="116">
        <f>Datasheet!G23/Datasheet!E23</f>
        <v>0.76729299785745431</v>
      </c>
      <c r="E23" s="116">
        <f>Datasheet!I23/Datasheet!E23</f>
        <v>0.23270700214254564</v>
      </c>
      <c r="F23" s="116">
        <f>(Datasheet!E23-Datasheet!D23)/Datasheet!D23</f>
        <v>3.7395898488979104E-2</v>
      </c>
      <c r="G23" s="116">
        <f>(Datasheet!G23-Datasheet!F23)/Datasheet!F23</f>
        <v>2.4693233669092436E-2</v>
      </c>
      <c r="H23" s="116">
        <f>(Datasheet!I23-Datasheet!H23)/Datasheet!H23</f>
        <v>8.1606034968979127E-2</v>
      </c>
      <c r="I23" s="116">
        <f>(Datasheet!K23-Datasheet!J23)/Datasheet!J23</f>
        <v>9.0137241218888109E-2</v>
      </c>
      <c r="J23" s="116">
        <f>Datasheet!F23/Datasheet!D23</f>
        <v>0.77680478680089227</v>
      </c>
      <c r="K23" s="116">
        <f>Datasheet!H23/Datasheet!D23</f>
        <v>0.22319521319910779</v>
      </c>
      <c r="L23" s="116">
        <f>Datasheet!R23/Datasheet!Q23</f>
        <v>0.8951048951048951</v>
      </c>
      <c r="M23" s="117">
        <f>(Datasheet!AB23-Datasheet!AA23)/Datasheet!AA23</f>
        <v>5.3208996160175534E-2</v>
      </c>
      <c r="N23" s="118">
        <f>Datasheet!AC23/Datasheet!E23</f>
        <v>1.670427181888853E-2</v>
      </c>
      <c r="O23" s="111">
        <f>SUM(Datasheet!AD23:AG23)</f>
        <v>1255</v>
      </c>
      <c r="P23" s="111">
        <f>SUM(Datasheet!AH23:AK23)</f>
        <v>2200</v>
      </c>
      <c r="Q23" s="111">
        <f t="shared" si="0"/>
        <v>3455</v>
      </c>
      <c r="R23" s="118">
        <f>Q23/Datasheet!AC23</f>
        <v>0.78433598183881947</v>
      </c>
      <c r="S23" s="118">
        <f>Datasheet!AL23/Datasheet!G23</f>
        <v>7.6109894780541565E-3</v>
      </c>
      <c r="T23" s="118">
        <f>Datasheet!AM23/Datasheet!I23</f>
        <v>4.668709057132614E-2</v>
      </c>
      <c r="U23" s="119">
        <f>O23/Datasheet!AL23</f>
        <v>0.81493506493506496</v>
      </c>
      <c r="V23" s="119">
        <f>P23/Datasheet!AM23</f>
        <v>0.76788830715532286</v>
      </c>
      <c r="W23" s="120">
        <f>((Datasheet!AP23-Datasheet!AO23)/Datasheet!AO23)*100</f>
        <v>4.7864750633981403</v>
      </c>
      <c r="X23" s="119">
        <f>Datasheet!AQ23/Datasheet!AR23</f>
        <v>0.52333132195505971</v>
      </c>
      <c r="Y23" s="111">
        <f>Datasheet!AV23+Datasheet!AS23</f>
        <v>74934</v>
      </c>
      <c r="Z23" s="117">
        <f>Datasheet!AW23/(Datasheet!AS23+Datasheet!AV23)</f>
        <v>0.66413110203645875</v>
      </c>
      <c r="AA23" s="111">
        <f>Datasheet!AX23+Datasheet!AT23</f>
        <v>60563</v>
      </c>
      <c r="AB23" s="119">
        <f>Datasheet!AY23/(Datasheet!AT23+Datasheet!AX23)</f>
        <v>0.59764212472962042</v>
      </c>
      <c r="AC23" s="119">
        <f>Datasheet!AU23/(Datasheet!AU23+Datasheet!AZ23)</f>
        <v>0.97427478913435783</v>
      </c>
      <c r="AD23" s="119">
        <f>Datasheet!AZ23/(Datasheet!AU23+Datasheet!AZ23)</f>
        <v>2.5725210865642216E-2</v>
      </c>
      <c r="AE23" s="117">
        <f>(Datasheet!BB23-Datasheet!BA23)/Datasheet!BA23</f>
        <v>7.0352186380538279E-2</v>
      </c>
      <c r="AF23" s="118">
        <f>(Datasheet!AX23+Datasheet!AT23)/Datasheet!BB23</f>
        <v>0.48145733796535523</v>
      </c>
      <c r="AG23" s="111">
        <f>(Datasheet!AP23*1000)/Datasheet!E23</f>
        <v>587.599780057261</v>
      </c>
      <c r="AH23" s="119">
        <f>Datasheet!BW23/SUM(Datasheet!$BW23:$BZ23)</f>
        <v>0.75294117647058822</v>
      </c>
      <c r="AI23" s="119">
        <f>Datasheet!BX23/SUM(Datasheet!$BW23:$BZ23)</f>
        <v>7.8431372549019607E-2</v>
      </c>
      <c r="AJ23" s="119">
        <f>Datasheet!BY23/SUM(Datasheet!$BW23:$BZ23)</f>
        <v>4.3137254901960784E-2</v>
      </c>
      <c r="AK23" s="119">
        <f>Datasheet!BZ23/SUM(Datasheet!$BW23:$BZ23)</f>
        <v>0.12549019607843137</v>
      </c>
      <c r="AL23" s="31">
        <f>Datasheet!BR23+Datasheet!BS23</f>
        <v>46</v>
      </c>
      <c r="AM23" s="31">
        <f>100-Datasheet!BV23</f>
        <v>68</v>
      </c>
      <c r="AN23" s="121">
        <f>(Datasheet!CL23-Datasheet!CK23)/Datasheet!CK23</f>
        <v>-0.20469798657718122</v>
      </c>
    </row>
    <row r="24" spans="1:40">
      <c r="A24" s="42" t="s">
        <v>140</v>
      </c>
      <c r="B24" s="42" t="s">
        <v>141</v>
      </c>
      <c r="C24" s="42" t="s">
        <v>142</v>
      </c>
      <c r="D24" s="116">
        <f>Datasheet!G24/Datasheet!E24</f>
        <v>0.75057009088405402</v>
      </c>
      <c r="E24" s="116">
        <f>Datasheet!I24/Datasheet!E24</f>
        <v>0.24942990911594601</v>
      </c>
      <c r="F24" s="116">
        <f>(Datasheet!E24-Datasheet!D24)/Datasheet!D24</f>
        <v>0.10558033376285834</v>
      </c>
      <c r="G24" s="116">
        <f>(Datasheet!G24-Datasheet!F24)/Datasheet!F24</f>
        <v>8.1685659762684201E-2</v>
      </c>
      <c r="H24" s="116">
        <f>(Datasheet!I24-Datasheet!H24)/Datasheet!H24</f>
        <v>0.18430412586827349</v>
      </c>
      <c r="I24" s="116">
        <f>(Datasheet!K24-Datasheet!J24)/Datasheet!J24</f>
        <v>0.33166731745411948</v>
      </c>
      <c r="J24" s="116">
        <f>Datasheet!F24/Datasheet!D24</f>
        <v>0.76715034918191316</v>
      </c>
      <c r="K24" s="116">
        <f>Datasheet!H24/Datasheet!D24</f>
        <v>0.23284965081808681</v>
      </c>
      <c r="L24" s="116">
        <f>Datasheet!R24/Datasheet!Q24</f>
        <v>0.90534979423868311</v>
      </c>
      <c r="M24" s="117">
        <f>(Datasheet!AB24-Datasheet!AA24)/Datasheet!AA24</f>
        <v>4.2062988797294441E-2</v>
      </c>
      <c r="N24" s="118">
        <f>Datasheet!AC24/Datasheet!E24</f>
        <v>1.4354172404296338E-2</v>
      </c>
      <c r="O24" s="111">
        <f>SUM(Datasheet!AD24:AG24)</f>
        <v>2085</v>
      </c>
      <c r="P24" s="111">
        <f>SUM(Datasheet!AH24:AK24)</f>
        <v>2435</v>
      </c>
      <c r="Q24" s="111">
        <f t="shared" si="0"/>
        <v>4520</v>
      </c>
      <c r="R24" s="118">
        <f>Q24/Datasheet!AC24</f>
        <v>0.69378357636224097</v>
      </c>
      <c r="S24" s="118">
        <f>Datasheet!AL24/Datasheet!G24</f>
        <v>7.3239105866467055E-3</v>
      </c>
      <c r="T24" s="118">
        <f>Datasheet!AM24/Datasheet!I24</f>
        <v>3.5509230633336275E-2</v>
      </c>
      <c r="U24" s="119">
        <f>O24/Datasheet!AL24</f>
        <v>0.83567134268537069</v>
      </c>
      <c r="V24" s="119">
        <f>P24/Datasheet!AM24</f>
        <v>0.60572139303482586</v>
      </c>
      <c r="W24" s="120">
        <f>((Datasheet!AP24-Datasheet!AO24)/Datasheet!AO24)*100</f>
        <v>6.8960885224706363</v>
      </c>
      <c r="X24" s="119">
        <f>Datasheet!AQ24/Datasheet!AR24</f>
        <v>0.46565979195057516</v>
      </c>
      <c r="Y24" s="111">
        <f>Datasheet!AV24+Datasheet!AS24</f>
        <v>119396</v>
      </c>
      <c r="Z24" s="117">
        <f>Datasheet!AW24/(Datasheet!AS24+Datasheet!AV24)</f>
        <v>0.62755033669469662</v>
      </c>
      <c r="AA24" s="111">
        <f>Datasheet!AX24+Datasheet!AT24</f>
        <v>111074</v>
      </c>
      <c r="AB24" s="119">
        <f>Datasheet!AY24/(Datasheet!AT24+Datasheet!AX24)</f>
        <v>0.70527756270594377</v>
      </c>
      <c r="AC24" s="119">
        <f>Datasheet!AU24/(Datasheet!AU24+Datasheet!AZ24)</f>
        <v>0.99739560485230216</v>
      </c>
      <c r="AD24" s="119">
        <f>Datasheet!AZ24/(Datasheet!AU24+Datasheet!AZ24)</f>
        <v>2.6043951476978347E-3</v>
      </c>
      <c r="AE24" s="117">
        <f>(Datasheet!BB24-Datasheet!BA24)/Datasheet!BA24</f>
        <v>4.8285910679536456E-2</v>
      </c>
      <c r="AF24" s="118">
        <f>(Datasheet!AX24+Datasheet!AT24)/Datasheet!BB24</f>
        <v>0.5129088415521087</v>
      </c>
      <c r="AG24" s="111">
        <f>(Datasheet!AP24*1000)/Datasheet!E24</f>
        <v>561.05755990085379</v>
      </c>
      <c r="AH24" s="119">
        <f>Datasheet!BW24/SUM(Datasheet!$BW24:$BZ24)</f>
        <v>0.73553719008264462</v>
      </c>
      <c r="AI24" s="119">
        <f>Datasheet!BX24/SUM(Datasheet!$BW24:$BZ24)</f>
        <v>8.2644628099173556E-2</v>
      </c>
      <c r="AJ24" s="119">
        <f>Datasheet!BY24/SUM(Datasheet!$BW24:$BZ24)</f>
        <v>4.9586776859504134E-2</v>
      </c>
      <c r="AK24" s="119">
        <f>Datasheet!BZ24/SUM(Datasheet!$BW24:$BZ24)</f>
        <v>0.13223140495867769</v>
      </c>
      <c r="AL24" s="31">
        <f>Datasheet!BR24+Datasheet!BS24</f>
        <v>49</v>
      </c>
      <c r="AM24" s="31">
        <f>100-Datasheet!BV24</f>
        <v>53</v>
      </c>
      <c r="AN24" s="121">
        <f>(Datasheet!CL24-Datasheet!CK24)/Datasheet!CK24</f>
        <v>6.7114093959731542E-3</v>
      </c>
    </row>
    <row r="25" spans="1:40">
      <c r="A25" s="42" t="s">
        <v>143</v>
      </c>
      <c r="B25" s="42" t="s">
        <v>144</v>
      </c>
      <c r="C25" s="42" t="s">
        <v>145</v>
      </c>
      <c r="D25" s="116">
        <f>Datasheet!G25/Datasheet!E25</f>
        <v>0.75993724862327872</v>
      </c>
      <c r="E25" s="116">
        <f>Datasheet!I25/Datasheet!E25</f>
        <v>0.24006275137672131</v>
      </c>
      <c r="F25" s="116">
        <f>(Datasheet!E25-Datasheet!D25)/Datasheet!D25</f>
        <v>5.9226182335403048E-2</v>
      </c>
      <c r="G25" s="116">
        <f>(Datasheet!G25-Datasheet!F25)/Datasheet!F25</f>
        <v>4.3139201020878377E-2</v>
      </c>
      <c r="H25" s="116">
        <f>(Datasheet!I25-Datasheet!H25)/Datasheet!H25</f>
        <v>0.11359008145663632</v>
      </c>
      <c r="I25" s="116">
        <f>(Datasheet!K25-Datasheet!J25)/Datasheet!J25</f>
        <v>0.22724935732647814</v>
      </c>
      <c r="J25" s="116">
        <f>Datasheet!F25/Datasheet!D25</f>
        <v>0.7716567739817829</v>
      </c>
      <c r="K25" s="116">
        <f>Datasheet!H25/Datasheet!D25</f>
        <v>0.22834322601821713</v>
      </c>
      <c r="L25" s="116">
        <f>Datasheet!R25/Datasheet!Q25</f>
        <v>0.89516129032258063</v>
      </c>
      <c r="M25" s="117">
        <f>(Datasheet!AB25-Datasheet!AA25)/Datasheet!AA25</f>
        <v>3.7453183520599251E-3</v>
      </c>
      <c r="N25" s="118">
        <f>Datasheet!AC25/Datasheet!E25</f>
        <v>2.3208971122746083E-2</v>
      </c>
      <c r="O25" s="111">
        <f>SUM(Datasheet!AD25:AG25)</f>
        <v>1175</v>
      </c>
      <c r="P25" s="111">
        <f>SUM(Datasheet!AH25:AK25)</f>
        <v>1290</v>
      </c>
      <c r="Q25" s="111">
        <f t="shared" si="0"/>
        <v>2465</v>
      </c>
      <c r="R25" s="118">
        <f>Q25/Datasheet!AC25</f>
        <v>0.68567454798331018</v>
      </c>
      <c r="S25" s="118">
        <f>Datasheet!AL25/Datasheet!G25</f>
        <v>1.1426192741606634E-2</v>
      </c>
      <c r="T25" s="118">
        <f>Datasheet!AM25/Datasheet!I25</f>
        <v>6.0508269463493344E-2</v>
      </c>
      <c r="U25" s="119">
        <f>O25/Datasheet!AL25</f>
        <v>0.87360594795539037</v>
      </c>
      <c r="V25" s="119">
        <f>P25/Datasheet!AM25</f>
        <v>0.57333333333333336</v>
      </c>
      <c r="W25" s="120">
        <f>((Datasheet!AP25-Datasheet!AO25)/Datasheet!AO25)*100</f>
        <v>7.827562551900928</v>
      </c>
      <c r="X25" s="119">
        <f>Datasheet!AQ25/Datasheet!AR25</f>
        <v>0.46439514992010528</v>
      </c>
      <c r="Y25" s="111">
        <f>Datasheet!AV25+Datasheet!AS25</f>
        <v>46408</v>
      </c>
      <c r="Z25" s="117">
        <f>Datasheet!AW25/(Datasheet!AS25+Datasheet!AV25)</f>
        <v>0.62047491811756594</v>
      </c>
      <c r="AA25" s="111">
        <f>Datasheet!AX25+Datasheet!AT25</f>
        <v>51852</v>
      </c>
      <c r="AB25" s="119">
        <f>Datasheet!AY25/(Datasheet!AT25+Datasheet!AX25)</f>
        <v>0.57336264753529276</v>
      </c>
      <c r="AC25" s="119">
        <f>Datasheet!AU25/(Datasheet!AU25+Datasheet!AZ25)</f>
        <v>0.99790414978342878</v>
      </c>
      <c r="AD25" s="119">
        <f>Datasheet!AZ25/(Datasheet!AU25+Datasheet!AZ25)</f>
        <v>2.0958502165711892E-3</v>
      </c>
      <c r="AE25" s="117">
        <f>(Datasheet!BB25-Datasheet!BA25)/Datasheet!BA25</f>
        <v>0.10144189790699877</v>
      </c>
      <c r="AF25" s="118">
        <f>(Datasheet!AX25+Datasheet!AT25)/Datasheet!BB25</f>
        <v>0.55730269451102199</v>
      </c>
      <c r="AG25" s="111">
        <f>(Datasheet!AP25*1000)/Datasheet!E25</f>
        <v>771.22216698838588</v>
      </c>
      <c r="AH25" s="119">
        <f>Datasheet!BW25/SUM(Datasheet!$BW25:$BZ25)</f>
        <v>0.70967741935483875</v>
      </c>
      <c r="AI25" s="119">
        <f>Datasheet!BX25/SUM(Datasheet!$BW25:$BZ25)</f>
        <v>8.6021505376344093E-2</v>
      </c>
      <c r="AJ25" s="119">
        <f>Datasheet!BY25/SUM(Datasheet!$BW25:$BZ25)</f>
        <v>5.3763440860215055E-2</v>
      </c>
      <c r="AK25" s="119">
        <f>Datasheet!BZ25/SUM(Datasheet!$BW25:$BZ25)</f>
        <v>0.15053763440860216</v>
      </c>
      <c r="AL25" s="31">
        <f>Datasheet!BR25+Datasheet!BS25</f>
        <v>21</v>
      </c>
      <c r="AM25" s="31">
        <f>100-Datasheet!BV25</f>
        <v>23</v>
      </c>
      <c r="AN25" s="121">
        <f>(Datasheet!CL25-Datasheet!CK25)/Datasheet!CK25</f>
        <v>0.15151515151515152</v>
      </c>
    </row>
    <row r="26" spans="1:40">
      <c r="A26" s="42" t="s">
        <v>146</v>
      </c>
      <c r="B26" s="42" t="s">
        <v>147</v>
      </c>
      <c r="C26" s="42" t="s">
        <v>148</v>
      </c>
      <c r="D26" s="116">
        <f>Datasheet!G26/Datasheet!E26</f>
        <v>0.74636548382054091</v>
      </c>
      <c r="E26" s="116">
        <f>Datasheet!I26/Datasheet!E26</f>
        <v>0.25363451617945915</v>
      </c>
      <c r="F26" s="116">
        <f>(Datasheet!E26-Datasheet!D26)/Datasheet!D26</f>
        <v>3.0700014872837241E-2</v>
      </c>
      <c r="G26" s="116">
        <f>(Datasheet!G26-Datasheet!F26)/Datasheet!F26</f>
        <v>-4.067584480600751E-3</v>
      </c>
      <c r="H26" s="116">
        <f>(Datasheet!I26-Datasheet!H26)/Datasheet!H26</f>
        <v>0.14870384489707003</v>
      </c>
      <c r="I26" s="116">
        <f>(Datasheet!K26-Datasheet!J26)/Datasheet!J26</f>
        <v>7.3298429319371722E-2</v>
      </c>
      <c r="J26" s="116">
        <f>Datasheet!F26/Datasheet!D26</f>
        <v>0.77242080214168851</v>
      </c>
      <c r="K26" s="116">
        <f>Datasheet!H26/Datasheet!D26</f>
        <v>0.22757919785831143</v>
      </c>
      <c r="L26" s="116">
        <f>Datasheet!R26/Datasheet!Q26</f>
        <v>0.88695652173913042</v>
      </c>
      <c r="M26" s="117">
        <f>(Datasheet!AB26-Datasheet!AA26)/Datasheet!AA26</f>
        <v>4.2569659442724457E-2</v>
      </c>
      <c r="N26" s="118">
        <f>Datasheet!AC26/Datasheet!E26</f>
        <v>1.9299912218467791E-2</v>
      </c>
      <c r="O26" s="111">
        <f>SUM(Datasheet!AD26:AG26)</f>
        <v>1035</v>
      </c>
      <c r="P26" s="111">
        <f>SUM(Datasheet!AH26:AK26)</f>
        <v>1360</v>
      </c>
      <c r="Q26" s="111">
        <f t="shared" si="0"/>
        <v>2395</v>
      </c>
      <c r="R26" s="118">
        <f>Q26/Datasheet!AC26</f>
        <v>0.74610591900311529</v>
      </c>
      <c r="S26" s="118">
        <f>Datasheet!AL26/Datasheet!G26</f>
        <v>9.3042364484400304E-3</v>
      </c>
      <c r="T26" s="118">
        <f>Datasheet!AM26/Datasheet!I26</f>
        <v>4.8713997866540237E-2</v>
      </c>
      <c r="U26" s="119">
        <f>O26/Datasheet!AL26</f>
        <v>0.89610389610389607</v>
      </c>
      <c r="V26" s="119">
        <f>P26/Datasheet!AM26</f>
        <v>0.66180048661800484</v>
      </c>
      <c r="W26" s="120">
        <f>((Datasheet!AP26-Datasheet!AO26)/Datasheet!AO26)*100</f>
        <v>10.166269511901255</v>
      </c>
      <c r="X26" s="119">
        <f>Datasheet!AQ26/Datasheet!AR26</f>
        <v>0.49837717962384831</v>
      </c>
      <c r="Y26" s="111">
        <f>Datasheet!AV26+Datasheet!AS26</f>
        <v>53095</v>
      </c>
      <c r="Z26" s="117">
        <f>Datasheet!AW26/(Datasheet!AS26+Datasheet!AV26)</f>
        <v>0.63546473302570861</v>
      </c>
      <c r="AA26" s="111">
        <f>Datasheet!AX26+Datasheet!AT26</f>
        <v>51588</v>
      </c>
      <c r="AB26" s="119">
        <f>Datasheet!AY26/(Datasheet!AT26+Datasheet!AX26)</f>
        <v>0.68387997208653173</v>
      </c>
      <c r="AC26" s="119">
        <f>Datasheet!AU26/(Datasheet!AU26+Datasheet!AZ26)</f>
        <v>0.98894780619671452</v>
      </c>
      <c r="AD26" s="119">
        <f>Datasheet!AZ26/(Datasheet!AU26+Datasheet!AZ26)</f>
        <v>1.1052193803285506E-2</v>
      </c>
      <c r="AE26" s="117">
        <f>(Datasheet!BB26-Datasheet!BA26)/Datasheet!BA26</f>
        <v>6.2915114878380321E-2</v>
      </c>
      <c r="AF26" s="118">
        <f>(Datasheet!AX26+Datasheet!AT26)/Datasheet!BB26</f>
        <v>0.53636930754834689</v>
      </c>
      <c r="AG26" s="111">
        <f>(Datasheet!AP26*1000)/Datasheet!E26</f>
        <v>742.16279265521098</v>
      </c>
      <c r="AH26" s="119">
        <f>Datasheet!BW26/SUM(Datasheet!$BW26:$BZ26)</f>
        <v>0.72727272727272729</v>
      </c>
      <c r="AI26" s="119">
        <f>Datasheet!BX26/SUM(Datasheet!$BW26:$BZ26)</f>
        <v>0.10101010101010101</v>
      </c>
      <c r="AJ26" s="119">
        <f>Datasheet!BY26/SUM(Datasheet!$BW26:$BZ26)</f>
        <v>4.0404040404040407E-2</v>
      </c>
      <c r="AK26" s="119">
        <f>Datasheet!BZ26/SUM(Datasheet!$BW26:$BZ26)</f>
        <v>0.13131313131313133</v>
      </c>
      <c r="AL26" s="31">
        <f>Datasheet!BR26+Datasheet!BS26</f>
        <v>14</v>
      </c>
      <c r="AM26" s="31">
        <f>100-Datasheet!BV26</f>
        <v>23</v>
      </c>
      <c r="AN26" s="121">
        <f>(Datasheet!CL26-Datasheet!CK26)/Datasheet!CK26</f>
        <v>1.9607843137254902E-2</v>
      </c>
    </row>
    <row r="27" spans="1:40">
      <c r="A27" s="42" t="s">
        <v>149</v>
      </c>
      <c r="B27" s="42" t="s">
        <v>150</v>
      </c>
      <c r="C27" s="42" t="s">
        <v>151</v>
      </c>
      <c r="D27" s="116">
        <f>Datasheet!G27/Datasheet!E27</f>
        <v>0.76059232815464994</v>
      </c>
      <c r="E27" s="116">
        <f>Datasheet!I27/Datasheet!E27</f>
        <v>0.23940767184535003</v>
      </c>
      <c r="F27" s="116">
        <f>(Datasheet!E27-Datasheet!D27)/Datasheet!D27</f>
        <v>0.11059039539323767</v>
      </c>
      <c r="G27" s="116">
        <f>(Datasheet!G27-Datasheet!F27)/Datasheet!F27</f>
        <v>8.6303638123194734E-2</v>
      </c>
      <c r="H27" s="116">
        <f>(Datasheet!I27-Datasheet!H27)/Datasheet!H27</f>
        <v>0.19550524849208617</v>
      </c>
      <c r="I27" s="116">
        <f>(Datasheet!K27-Datasheet!J27)/Datasheet!J27</f>
        <v>0.22257857601026299</v>
      </c>
      <c r="J27" s="116">
        <f>Datasheet!F27/Datasheet!D27</f>
        <v>0.77759707766212971</v>
      </c>
      <c r="K27" s="116">
        <f>Datasheet!H27/Datasheet!D27</f>
        <v>0.22240292233787029</v>
      </c>
      <c r="L27" s="116">
        <f>Datasheet!R27/Datasheet!Q27</f>
        <v>0.87577639751552794</v>
      </c>
      <c r="M27" s="117">
        <f>(Datasheet!AB27-Datasheet!AA27)/Datasheet!AA27</f>
        <v>4.861878453038674E-2</v>
      </c>
      <c r="N27" s="118">
        <f>Datasheet!AC27/Datasheet!E27</f>
        <v>1.458291814329905E-2</v>
      </c>
      <c r="O27" s="111">
        <f>SUM(Datasheet!AD27:AG27)</f>
        <v>2440</v>
      </c>
      <c r="P27" s="111">
        <f>SUM(Datasheet!AH27:AK27)</f>
        <v>3160</v>
      </c>
      <c r="Q27" s="111">
        <f t="shared" si="0"/>
        <v>5600</v>
      </c>
      <c r="R27" s="118">
        <f>Q27/Datasheet!AC27</f>
        <v>0.66547831253713607</v>
      </c>
      <c r="S27" s="118">
        <f>Datasheet!AL27/Datasheet!G27</f>
        <v>6.3454668076264077E-3</v>
      </c>
      <c r="T27" s="118">
        <f>Datasheet!AM27/Datasheet!I27</f>
        <v>4.075309991386112E-2</v>
      </c>
      <c r="U27" s="119">
        <f>O27/Datasheet!AL27</f>
        <v>0.87612208258527824</v>
      </c>
      <c r="V27" s="119">
        <f>P27/Datasheet!AM27</f>
        <v>0.56127886323268206</v>
      </c>
      <c r="W27" s="120">
        <f>((Datasheet!AP27-Datasheet!AO27)/Datasheet!AO27)*100</f>
        <v>5.8269790785576285</v>
      </c>
      <c r="X27" s="119">
        <f>Datasheet!AQ27/Datasheet!AR27</f>
        <v>0.51838459971480955</v>
      </c>
      <c r="Y27" s="111">
        <f>Datasheet!AV27+Datasheet!AS27</f>
        <v>137055</v>
      </c>
      <c r="Z27" s="117">
        <f>Datasheet!AW27/(Datasheet!AS27+Datasheet!AV27)</f>
        <v>0.62350151399073361</v>
      </c>
      <c r="AA27" s="111">
        <f>Datasheet!AX27+Datasheet!AT27</f>
        <v>138544</v>
      </c>
      <c r="AB27" s="119">
        <f>Datasheet!AY27/(Datasheet!AT27+Datasheet!AX27)</f>
        <v>0.6304567502021019</v>
      </c>
      <c r="AC27" s="119">
        <f>Datasheet!AU27/(Datasheet!AU27+Datasheet!AZ27)</f>
        <v>0.98371324984052388</v>
      </c>
      <c r="AD27" s="119">
        <f>Datasheet!AZ27/(Datasheet!AU27+Datasheet!AZ27)</f>
        <v>1.6286750159476112E-2</v>
      </c>
      <c r="AE27" s="117">
        <f>(Datasheet!BB27-Datasheet!BA27)/Datasheet!BA27</f>
        <v>5.8202278873636583E-2</v>
      </c>
      <c r="AF27" s="118">
        <f>(Datasheet!AX27+Datasheet!AT27)/Datasheet!BB27</f>
        <v>0.55935337483749581</v>
      </c>
      <c r="AG27" s="111">
        <f>(Datasheet!AP27*1000)/Datasheet!E27</f>
        <v>587.57635886282696</v>
      </c>
      <c r="AH27" s="119">
        <f>Datasheet!BW27/SUM(Datasheet!$BW27:$BZ27)</f>
        <v>0.72368421052631582</v>
      </c>
      <c r="AI27" s="119">
        <f>Datasheet!BX27/SUM(Datasheet!$BW27:$BZ27)</f>
        <v>8.5526315789473686E-2</v>
      </c>
      <c r="AJ27" s="119">
        <f>Datasheet!BY27/SUM(Datasheet!$BW27:$BZ27)</f>
        <v>4.6052631578947366E-2</v>
      </c>
      <c r="AK27" s="119">
        <f>Datasheet!BZ27/SUM(Datasheet!$BW27:$BZ27)</f>
        <v>0.14473684210526316</v>
      </c>
      <c r="AL27" s="31">
        <f>Datasheet!BR27+Datasheet!BS27</f>
        <v>39</v>
      </c>
      <c r="AM27" s="31">
        <f>100-Datasheet!BV27</f>
        <v>34</v>
      </c>
      <c r="AN27" s="121">
        <f>(Datasheet!CL27-Datasheet!CK27)/Datasheet!CK27</f>
        <v>-4.6224961479198766E-2</v>
      </c>
    </row>
    <row r="28" spans="1:40">
      <c r="A28" s="42" t="s">
        <v>152</v>
      </c>
      <c r="B28" s="42" t="s">
        <v>153</v>
      </c>
      <c r="C28" s="42" t="s">
        <v>154</v>
      </c>
      <c r="D28" s="116">
        <f>Datasheet!G28/Datasheet!E28</f>
        <v>0.85236402378700415</v>
      </c>
      <c r="E28" s="116">
        <f>Datasheet!I28/Datasheet!E28</f>
        <v>0.14763597621299587</v>
      </c>
      <c r="F28" s="116">
        <f>(Datasheet!E28-Datasheet!D28)/Datasheet!D28</f>
        <v>1.5208873682467854E-2</v>
      </c>
      <c r="G28" s="116">
        <f>(Datasheet!G28-Datasheet!F28)/Datasheet!F28</f>
        <v>5.327776887321686E-3</v>
      </c>
      <c r="H28" s="116">
        <f>(Datasheet!I28-Datasheet!H28)/Datasheet!H28</f>
        <v>7.6282940360610257E-2</v>
      </c>
      <c r="I28" s="116">
        <f>(Datasheet!K28-Datasheet!J28)/Datasheet!J28</f>
        <v>-1.3466042154566744E-2</v>
      </c>
      <c r="J28" s="116">
        <f>Datasheet!F28/Datasheet!D28</f>
        <v>0.86074168092268644</v>
      </c>
      <c r="K28" s="116">
        <f>Datasheet!H28/Datasheet!D28</f>
        <v>0.13925831907731362</v>
      </c>
      <c r="L28" s="116">
        <f>Datasheet!R28/Datasheet!Q28</f>
        <v>0.87878787878787878</v>
      </c>
      <c r="M28" s="117">
        <f>(Datasheet!AB28-Datasheet!AA28)/Datasheet!AA28</f>
        <v>-2.4856596558317401E-2</v>
      </c>
      <c r="N28" s="118">
        <f>Datasheet!AC28/Datasheet!E28</f>
        <v>1.9568833371383841E-2</v>
      </c>
      <c r="O28" s="111">
        <f>SUM(Datasheet!AD28:AG28)</f>
        <v>1310</v>
      </c>
      <c r="P28" s="111">
        <f>SUM(Datasheet!AH28:AK28)</f>
        <v>1540</v>
      </c>
      <c r="Q28" s="111">
        <f t="shared" si="0"/>
        <v>2850</v>
      </c>
      <c r="R28" s="118">
        <f>Q28/Datasheet!AC28</f>
        <v>0.79166666666666663</v>
      </c>
      <c r="S28" s="118">
        <f>Datasheet!AL28/Datasheet!G28</f>
        <v>9.3108682065737285E-3</v>
      </c>
      <c r="T28" s="118">
        <f>Datasheet!AM28/Datasheet!I28</f>
        <v>7.8792341678939615E-2</v>
      </c>
      <c r="U28" s="119">
        <f>O28/Datasheet!AL28</f>
        <v>0.89726027397260277</v>
      </c>
      <c r="V28" s="119">
        <f>P28/Datasheet!AM28</f>
        <v>0.71962616822429903</v>
      </c>
      <c r="W28" s="120">
        <f>((Datasheet!AP28-Datasheet!AO28)/Datasheet!AO28)*100</f>
        <v>18.981151651392011</v>
      </c>
      <c r="X28" s="119">
        <f>Datasheet!AQ28/Datasheet!AR28</f>
        <v>0.48611756632406383</v>
      </c>
      <c r="Y28" s="111">
        <f>Datasheet!AV28+Datasheet!AS28</f>
        <v>56963</v>
      </c>
      <c r="Z28" s="117">
        <f>Datasheet!AW28/(Datasheet!AS28+Datasheet!AV28)</f>
        <v>0.47220125344521885</v>
      </c>
      <c r="AA28" s="111">
        <f>Datasheet!AX28+Datasheet!AT28</f>
        <v>61129</v>
      </c>
      <c r="AB28" s="119">
        <f>Datasheet!AY28/(Datasheet!AT28+Datasheet!AX28)</f>
        <v>0.55268366896235832</v>
      </c>
      <c r="AC28" s="119">
        <f>Datasheet!AU28/(Datasheet!AU28+Datasheet!AZ28)</f>
        <v>0.99806804872921651</v>
      </c>
      <c r="AD28" s="119">
        <f>Datasheet!AZ28/(Datasheet!AU28+Datasheet!AZ28)</f>
        <v>1.9319512707834912E-3</v>
      </c>
      <c r="AE28" s="117">
        <f>(Datasheet!BB28-Datasheet!BA28)/Datasheet!BA28</f>
        <v>9.5912501645530737E-2</v>
      </c>
      <c r="AF28" s="118">
        <f>(Datasheet!AX28+Datasheet!AT28)/Datasheet!BB28</f>
        <v>0.61190802710737846</v>
      </c>
      <c r="AG28" s="111">
        <f>(Datasheet!AP28*1000)/Datasheet!E28</f>
        <v>935.04778056814848</v>
      </c>
      <c r="AH28" s="119">
        <f>Datasheet!BW28/SUM(Datasheet!$BW28:$BZ28)</f>
        <v>0.71755725190839692</v>
      </c>
      <c r="AI28" s="119">
        <f>Datasheet!BX28/SUM(Datasheet!$BW28:$BZ28)</f>
        <v>0.10687022900763359</v>
      </c>
      <c r="AJ28" s="119">
        <f>Datasheet!BY28/SUM(Datasheet!$BW28:$BZ28)</f>
        <v>3.8167938931297711E-2</v>
      </c>
      <c r="AK28" s="119">
        <f>Datasheet!BZ28/SUM(Datasheet!$BW28:$BZ28)</f>
        <v>0.13740458015267176</v>
      </c>
      <c r="AL28" s="31">
        <f>Datasheet!BR28+Datasheet!BS28</f>
        <v>47</v>
      </c>
      <c r="AM28" s="31">
        <f>100-Datasheet!BV28</f>
        <v>70</v>
      </c>
      <c r="AN28" s="121">
        <f>(Datasheet!CL28-Datasheet!CK28)/Datasheet!CK28</f>
        <v>0.21459227467811159</v>
      </c>
    </row>
    <row r="29" spans="1:40">
      <c r="A29" s="42" t="s">
        <v>155</v>
      </c>
      <c r="B29" s="42" t="s">
        <v>156</v>
      </c>
      <c r="C29" s="42" t="s">
        <v>157</v>
      </c>
      <c r="D29" s="116">
        <f>Datasheet!G29/Datasheet!E29</f>
        <v>0.76348034817836363</v>
      </c>
      <c r="E29" s="116">
        <f>Datasheet!I29/Datasheet!E29</f>
        <v>0.23651965182163634</v>
      </c>
      <c r="F29" s="116">
        <f>(Datasheet!E29-Datasheet!D29)/Datasheet!D29</f>
        <v>0.18310477080060572</v>
      </c>
      <c r="G29" s="116">
        <f>(Datasheet!G29-Datasheet!F29)/Datasheet!F29</f>
        <v>0.15999151849271498</v>
      </c>
      <c r="H29" s="116">
        <f>(Datasheet!I29-Datasheet!H29)/Datasheet!H29</f>
        <v>0.264431275579809</v>
      </c>
      <c r="I29" s="116">
        <f>(Datasheet!K29-Datasheet!J29)/Datasheet!J29</f>
        <v>0.4070446411753626</v>
      </c>
      <c r="J29" s="116">
        <f>Datasheet!F29/Datasheet!D29</f>
        <v>0.77869297140727534</v>
      </c>
      <c r="K29" s="116">
        <f>Datasheet!H29/Datasheet!D29</f>
        <v>0.22130702859272469</v>
      </c>
      <c r="L29" s="116">
        <f>Datasheet!R29/Datasheet!Q29</f>
        <v>0.90140845070422537</v>
      </c>
      <c r="M29" s="117">
        <f>(Datasheet!AB29-Datasheet!AA29)/Datasheet!AA29</f>
        <v>2.3832221163012392E-2</v>
      </c>
      <c r="N29" s="118">
        <f>Datasheet!AC29/Datasheet!E29</f>
        <v>1.7664110753575688E-2</v>
      </c>
      <c r="O29" s="111">
        <f>SUM(Datasheet!AD29:AG29)</f>
        <v>1170</v>
      </c>
      <c r="P29" s="111">
        <f>SUM(Datasheet!AH29:AK29)</f>
        <v>2005</v>
      </c>
      <c r="Q29" s="111">
        <f t="shared" si="0"/>
        <v>3175</v>
      </c>
      <c r="R29" s="118">
        <f>Q29/Datasheet!AC29</f>
        <v>0.71670428893905191</v>
      </c>
      <c r="S29" s="118">
        <f>Datasheet!AL29/Datasheet!G29</f>
        <v>7.0505656120413212E-3</v>
      </c>
      <c r="T29" s="118">
        <f>Datasheet!AM29/Datasheet!I29</f>
        <v>5.1924406156751014E-2</v>
      </c>
      <c r="U29" s="119">
        <f>O29/Datasheet!AL29</f>
        <v>0.8666666666666667</v>
      </c>
      <c r="V29" s="119">
        <f>P29/Datasheet!AM29</f>
        <v>0.65097402597402598</v>
      </c>
      <c r="W29" s="120">
        <f>((Datasheet!AP29-Datasheet!AO29)/Datasheet!AO29)*100</f>
        <v>8.0431004985004737</v>
      </c>
      <c r="X29" s="119">
        <f>Datasheet!AQ29/Datasheet!AR29</f>
        <v>0.57552945033801128</v>
      </c>
      <c r="Y29" s="111">
        <f>Datasheet!AV29+Datasheet!AS29</f>
        <v>61737</v>
      </c>
      <c r="Z29" s="117">
        <f>Datasheet!AW29/(Datasheet!AS29+Datasheet!AV29)</f>
        <v>0.66723358763788332</v>
      </c>
      <c r="AA29" s="111">
        <f>Datasheet!AX29+Datasheet!AT29</f>
        <v>64349</v>
      </c>
      <c r="AB29" s="119">
        <f>Datasheet!AY29/(Datasheet!AT29+Datasheet!AX29)</f>
        <v>0.66310276771977805</v>
      </c>
      <c r="AC29" s="119">
        <f>Datasheet!AU29/(Datasheet!AU29+Datasheet!AZ29)</f>
        <v>0.98224075968626212</v>
      </c>
      <c r="AD29" s="119">
        <f>Datasheet!AZ29/(Datasheet!AU29+Datasheet!AZ29)</f>
        <v>1.7759240313737833E-2</v>
      </c>
      <c r="AE29" s="117">
        <f>(Datasheet!BB29-Datasheet!BA29)/Datasheet!BA29</f>
        <v>3.2828191604652841E-2</v>
      </c>
      <c r="AF29" s="118">
        <f>(Datasheet!AX29+Datasheet!AT29)/Datasheet!BB29</f>
        <v>0.56267324221994874</v>
      </c>
      <c r="AG29" s="111">
        <f>(Datasheet!AP29*1000)/Datasheet!E29</f>
        <v>642.10836912010404</v>
      </c>
      <c r="AH29" s="119">
        <f>Datasheet!BW29/SUM(Datasheet!$BW29:$BZ29)</f>
        <v>0.71287128712871284</v>
      </c>
      <c r="AI29" s="119">
        <f>Datasheet!BX29/SUM(Datasheet!$BW29:$BZ29)</f>
        <v>7.9207920792079209E-2</v>
      </c>
      <c r="AJ29" s="119">
        <f>Datasheet!BY29/SUM(Datasheet!$BW29:$BZ29)</f>
        <v>5.9405940594059403E-2</v>
      </c>
      <c r="AK29" s="119">
        <f>Datasheet!BZ29/SUM(Datasheet!$BW29:$BZ29)</f>
        <v>0.14851485148514851</v>
      </c>
      <c r="AL29" s="31">
        <f>Datasheet!BR29+Datasheet!BS29</f>
        <v>41</v>
      </c>
      <c r="AM29" s="31">
        <f>100-Datasheet!BV29</f>
        <v>46</v>
      </c>
      <c r="AN29" s="121">
        <f>(Datasheet!CL29-Datasheet!CK29)/Datasheet!CK29</f>
        <v>4.5977011494252873E-2</v>
      </c>
    </row>
    <row r="30" spans="1:40">
      <c r="A30" s="42" t="s">
        <v>158</v>
      </c>
      <c r="B30" s="42" t="s">
        <v>159</v>
      </c>
      <c r="C30" s="42" t="s">
        <v>160</v>
      </c>
      <c r="D30" s="116">
        <f>Datasheet!G30/Datasheet!E30</f>
        <v>0.71538207889906646</v>
      </c>
      <c r="E30" s="116">
        <f>Datasheet!I30/Datasheet!E30</f>
        <v>0.28461792110093348</v>
      </c>
      <c r="F30" s="116">
        <f>(Datasheet!E30-Datasheet!D30)/Datasheet!D30</f>
        <v>0.12893672253847777</v>
      </c>
      <c r="G30" s="116">
        <f>(Datasheet!G30-Datasheet!F30)/Datasheet!F30</f>
        <v>0.10555675812183199</v>
      </c>
      <c r="H30" s="116">
        <f>(Datasheet!I30-Datasheet!H30)/Datasheet!H30</f>
        <v>0.19231333431128061</v>
      </c>
      <c r="I30" s="116">
        <f>(Datasheet!K30-Datasheet!J30)/Datasheet!J30</f>
        <v>0.25408135654369984</v>
      </c>
      <c r="J30" s="116">
        <f>Datasheet!F30/Datasheet!D30</f>
        <v>0.730510752688172</v>
      </c>
      <c r="K30" s="116">
        <f>Datasheet!H30/Datasheet!D30</f>
        <v>0.26948924731182794</v>
      </c>
      <c r="L30" s="116">
        <f>Datasheet!R30/Datasheet!Q30</f>
        <v>0.86764705882352944</v>
      </c>
      <c r="M30" s="117">
        <f>(Datasheet!AB30-Datasheet!AA30)/Datasheet!AA30</f>
        <v>3.6116910229645097E-2</v>
      </c>
      <c r="N30" s="118">
        <f>Datasheet!AC30/Datasheet!E30</f>
        <v>1.7450122705294273E-2</v>
      </c>
      <c r="O30" s="111">
        <f>SUM(Datasheet!AD30:AG30)</f>
        <v>1620</v>
      </c>
      <c r="P30" s="111">
        <f>SUM(Datasheet!AH30:AK30)</f>
        <v>2270</v>
      </c>
      <c r="Q30" s="111">
        <f t="shared" si="0"/>
        <v>3890</v>
      </c>
      <c r="R30" s="118">
        <f>Q30/Datasheet!AC30</f>
        <v>0.65050167224080269</v>
      </c>
      <c r="S30" s="118">
        <f>Datasheet!AL30/Datasheet!G30</f>
        <v>7.4850604719463197E-3</v>
      </c>
      <c r="T30" s="118">
        <f>Datasheet!AM30/Datasheet!I30</f>
        <v>4.2497129265091867E-2</v>
      </c>
      <c r="U30" s="119">
        <f>O30/Datasheet!AL30</f>
        <v>0.8828337874659401</v>
      </c>
      <c r="V30" s="119">
        <f>P30/Datasheet!AM30</f>
        <v>0.54764776839565743</v>
      </c>
      <c r="W30" s="120">
        <f>((Datasheet!AP30-Datasheet!AO30)/Datasheet!AO30)*100</f>
        <v>17.759641845810233</v>
      </c>
      <c r="X30" s="119">
        <f>Datasheet!AQ30/Datasheet!AR30</f>
        <v>0.51879980400753023</v>
      </c>
      <c r="Y30" s="111">
        <f>Datasheet!AV30+Datasheet!AS30</f>
        <v>100212</v>
      </c>
      <c r="Z30" s="117">
        <f>Datasheet!AW30/(Datasheet!AS30+Datasheet!AV30)</f>
        <v>0.63823693769209278</v>
      </c>
      <c r="AA30" s="111">
        <f>Datasheet!AX30+Datasheet!AT30</f>
        <v>108325</v>
      </c>
      <c r="AB30" s="119">
        <f>Datasheet!AY30/(Datasheet!AT30+Datasheet!AX30)</f>
        <v>0.46518347565197321</v>
      </c>
      <c r="AC30" s="119">
        <f>Datasheet!AU30/(Datasheet!AU30+Datasheet!AZ30)</f>
        <v>0.97188408203935894</v>
      </c>
      <c r="AD30" s="119">
        <f>Datasheet!AZ30/(Datasheet!AU30+Datasheet!AZ30)</f>
        <v>2.8115917960641036E-2</v>
      </c>
      <c r="AE30" s="117">
        <f>(Datasheet!BB30-Datasheet!BA30)/Datasheet!BA30</f>
        <v>4.3129532960687396E-2</v>
      </c>
      <c r="AF30" s="118">
        <f>(Datasheet!AX30+Datasheet!AT30)/Datasheet!BB30</f>
        <v>0.59965678540784406</v>
      </c>
      <c r="AG30" s="111">
        <f>(Datasheet!AP30*1000)/Datasheet!E30</f>
        <v>689.27109261696398</v>
      </c>
      <c r="AH30" s="119">
        <f>Datasheet!BW30/SUM(Datasheet!$BW30:$BZ30)</f>
        <v>0.72566371681415931</v>
      </c>
      <c r="AI30" s="119">
        <f>Datasheet!BX30/SUM(Datasheet!$BW30:$BZ30)</f>
        <v>7.0796460176991149E-2</v>
      </c>
      <c r="AJ30" s="119">
        <f>Datasheet!BY30/SUM(Datasheet!$BW30:$BZ30)</f>
        <v>5.3097345132743362E-2</v>
      </c>
      <c r="AK30" s="119">
        <f>Datasheet!BZ30/SUM(Datasheet!$BW30:$BZ30)</f>
        <v>0.15044247787610621</v>
      </c>
      <c r="AL30" s="31">
        <f>Datasheet!BR30+Datasheet!BS30</f>
        <v>27</v>
      </c>
      <c r="AM30" s="31">
        <f>100-Datasheet!BV30</f>
        <v>24</v>
      </c>
      <c r="AN30" s="121">
        <f>(Datasheet!CL30-Datasheet!CK30)/Datasheet!CK30</f>
        <v>0.24269005847953215</v>
      </c>
    </row>
    <row r="31" spans="1:40">
      <c r="A31" s="42" t="s">
        <v>161</v>
      </c>
      <c r="B31" s="42" t="s">
        <v>162</v>
      </c>
      <c r="C31" s="42" t="s">
        <v>163</v>
      </c>
      <c r="D31" s="116">
        <f>Datasheet!G31/Datasheet!E31</f>
        <v>0.72866808071278477</v>
      </c>
      <c r="E31" s="116">
        <f>Datasheet!I31/Datasheet!E31</f>
        <v>0.27133191928721517</v>
      </c>
      <c r="F31" s="116">
        <f>(Datasheet!E31-Datasheet!D31)/Datasheet!D31</f>
        <v>0.11256321611286049</v>
      </c>
      <c r="G31" s="116">
        <f>(Datasheet!G31-Datasheet!F31)/Datasheet!F31</f>
        <v>8.4466591388875245E-2</v>
      </c>
      <c r="H31" s="116">
        <f>(Datasheet!I31-Datasheet!H31)/Datasheet!H31</f>
        <v>0.19576088852706869</v>
      </c>
      <c r="I31" s="116">
        <f>(Datasheet!K31-Datasheet!J31)/Datasheet!J31</f>
        <v>0.26434941687628633</v>
      </c>
      <c r="J31" s="116">
        <f>Datasheet!F31/Datasheet!D31</f>
        <v>0.74754659091743192</v>
      </c>
      <c r="K31" s="116">
        <f>Datasheet!H31/Datasheet!D31</f>
        <v>0.25245340908256814</v>
      </c>
      <c r="L31" s="116">
        <f>Datasheet!R31/Datasheet!Q31</f>
        <v>0.86757990867579904</v>
      </c>
      <c r="M31" s="117">
        <f>(Datasheet!AB31-Datasheet!AA31)/Datasheet!AA31</f>
        <v>5.9810126582278481E-2</v>
      </c>
      <c r="N31" s="118">
        <f>Datasheet!AC31/Datasheet!E31</f>
        <v>1.7499645388901166E-2</v>
      </c>
      <c r="O31" s="111">
        <f>SUM(Datasheet!AD31:AG31)</f>
        <v>1645</v>
      </c>
      <c r="P31" s="111">
        <f>SUM(Datasheet!AH31:AK31)</f>
        <v>1775</v>
      </c>
      <c r="Q31" s="111">
        <f t="shared" si="0"/>
        <v>3420</v>
      </c>
      <c r="R31" s="118">
        <f>Q31/Datasheet!AC31</f>
        <v>0.644674835061263</v>
      </c>
      <c r="S31" s="118">
        <f>Datasheet!AL31/Datasheet!G31</f>
        <v>8.4881957491115684E-3</v>
      </c>
      <c r="T31" s="118">
        <f>Datasheet!AM31/Datasheet!I31</f>
        <v>4.1700099691200428E-2</v>
      </c>
      <c r="U31" s="119">
        <f>O31/Datasheet!AL31</f>
        <v>0.8773333333333333</v>
      </c>
      <c r="V31" s="119">
        <f>P31/Datasheet!AM31</f>
        <v>0.51749271137026243</v>
      </c>
      <c r="W31" s="120">
        <f>((Datasheet!AP31-Datasheet!AO31)/Datasheet!AO31)*100</f>
        <v>5.067484326662469</v>
      </c>
      <c r="X31" s="119">
        <f>Datasheet!AQ31/Datasheet!AR31</f>
        <v>0.61214836163147668</v>
      </c>
      <c r="Y31" s="111">
        <f>Datasheet!AV31+Datasheet!AS31</f>
        <v>102132</v>
      </c>
      <c r="Z31" s="117">
        <f>Datasheet!AW31/(Datasheet!AS31+Datasheet!AV31)</f>
        <v>0.69763639212000161</v>
      </c>
      <c r="AA31" s="111">
        <f>Datasheet!AX31+Datasheet!AT31</f>
        <v>90827</v>
      </c>
      <c r="AB31" s="119">
        <f>Datasheet!AY31/(Datasheet!AT31+Datasheet!AX31)</f>
        <v>0.49370781815979831</v>
      </c>
      <c r="AC31" s="119">
        <f>Datasheet!AU31/(Datasheet!AU31+Datasheet!AZ31)</f>
        <v>0.99826371772541544</v>
      </c>
      <c r="AD31" s="119">
        <f>Datasheet!AZ31/(Datasheet!AU31+Datasheet!AZ31)</f>
        <v>1.7362822745845519E-3</v>
      </c>
      <c r="AE31" s="117">
        <f>(Datasheet!BB31-Datasheet!BA31)/Datasheet!BA31</f>
        <v>0.13703680637728094</v>
      </c>
      <c r="AF31" s="118">
        <f>(Datasheet!AX31+Datasheet!AT31)/Datasheet!BB31</f>
        <v>0.49748047367094989</v>
      </c>
      <c r="AG31" s="111">
        <f>(Datasheet!AP31*1000)/Datasheet!E31</f>
        <v>759.5868698230903</v>
      </c>
      <c r="AH31" s="119">
        <f>Datasheet!BW31/SUM(Datasheet!$BW31:$BZ31)</f>
        <v>0.72727272727272729</v>
      </c>
      <c r="AI31" s="119">
        <f>Datasheet!BX31/SUM(Datasheet!$BW31:$BZ31)</f>
        <v>7.7134986225895319E-2</v>
      </c>
      <c r="AJ31" s="119">
        <f>Datasheet!BY31/SUM(Datasheet!$BW31:$BZ31)</f>
        <v>5.2341597796143252E-2</v>
      </c>
      <c r="AK31" s="119">
        <f>Datasheet!BZ31/SUM(Datasheet!$BW31:$BZ31)</f>
        <v>0.14325068870523416</v>
      </c>
      <c r="AL31" s="31">
        <f>Datasheet!BR31+Datasheet!BS31</f>
        <v>25</v>
      </c>
      <c r="AM31" s="31">
        <f>100-Datasheet!BV31</f>
        <v>23</v>
      </c>
      <c r="AN31" s="121">
        <f>(Datasheet!CL31-Datasheet!CK31)/Datasheet!CK31</f>
        <v>7.5949367088607592E-3</v>
      </c>
    </row>
    <row r="32" spans="1:40">
      <c r="A32" s="42" t="s">
        <v>164</v>
      </c>
      <c r="B32" s="42" t="s">
        <v>165</v>
      </c>
      <c r="C32" s="42" t="s">
        <v>166</v>
      </c>
      <c r="D32" s="116">
        <f>Datasheet!G32/Datasheet!E32</f>
        <v>0.90370221865811284</v>
      </c>
      <c r="E32" s="116">
        <f>Datasheet!I32/Datasheet!E32</f>
        <v>9.6297781341887198E-2</v>
      </c>
      <c r="F32" s="116">
        <f>(Datasheet!E32-Datasheet!D32)/Datasheet!D32</f>
        <v>1.1380197171024431</v>
      </c>
      <c r="G32" s="116">
        <f>(Datasheet!G32-Datasheet!F32)/Datasheet!F32</f>
        <v>1.3112288497692701</v>
      </c>
      <c r="H32" s="116">
        <f>(Datasheet!I32-Datasheet!H32)/Datasheet!H32</f>
        <v>0.25522648083623695</v>
      </c>
      <c r="I32" s="116">
        <f>(Datasheet!K32-Datasheet!J32)/Datasheet!J32</f>
        <v>0.10810810810810811</v>
      </c>
      <c r="J32" s="116">
        <f>Datasheet!F32/Datasheet!D32</f>
        <v>0.8359765680811545</v>
      </c>
      <c r="K32" s="116">
        <f>Datasheet!H32/Datasheet!D32</f>
        <v>0.16402343191884555</v>
      </c>
      <c r="L32" s="116" t="e">
        <f>Datasheet!R32/Datasheet!Q32</f>
        <v>#VALUE!</v>
      </c>
      <c r="M32" s="117" t="e">
        <f>(Datasheet!AB32-Datasheet!AA32)/Datasheet!AA32</f>
        <v>#DIV/0!</v>
      </c>
      <c r="N32" s="118">
        <f>Datasheet!AC32/Datasheet!E32</f>
        <v>9.3557872226677358E-3</v>
      </c>
      <c r="O32" s="111">
        <f>SUM(Datasheet!AD32:AG32)</f>
        <v>35</v>
      </c>
      <c r="P32" s="111">
        <f>SUM(Datasheet!AH32:AK32)</f>
        <v>65</v>
      </c>
      <c r="Q32" s="111">
        <f t="shared" si="0"/>
        <v>100</v>
      </c>
      <c r="R32" s="118">
        <f>Q32/Datasheet!AC32</f>
        <v>0.7142857142857143</v>
      </c>
      <c r="S32" s="118">
        <f>Datasheet!AL32/Datasheet!G32</f>
        <v>3.32766397988612E-3</v>
      </c>
      <c r="T32" s="118">
        <f>Datasheet!AM32/Datasheet!I32</f>
        <v>6.5926439972241499E-2</v>
      </c>
      <c r="U32" s="119">
        <f>O32/Datasheet!AL32</f>
        <v>0.77777777777777779</v>
      </c>
      <c r="V32" s="119">
        <f>P32/Datasheet!AM32</f>
        <v>0.68421052631578949</v>
      </c>
      <c r="W32" s="120">
        <f>((Datasheet!AP32-Datasheet!AO32)/Datasheet!AO32)*100</f>
        <v>11.793126166684969</v>
      </c>
      <c r="X32" s="119">
        <f>Datasheet!AQ32/Datasheet!AR32</f>
        <v>4.9764906837921521E-2</v>
      </c>
      <c r="Y32" s="111">
        <f>Datasheet!AV32+Datasheet!AS32</f>
        <v>2513</v>
      </c>
      <c r="Z32" s="117">
        <f>Datasheet!AW32/(Datasheet!AS32+Datasheet!AV32)</f>
        <v>0.26263430163151613</v>
      </c>
      <c r="AA32" s="111">
        <f>Datasheet!AX32+Datasheet!AT32</f>
        <v>3331</v>
      </c>
      <c r="AB32" s="119">
        <f>Datasheet!AY32/(Datasheet!AT32+Datasheet!AX32)</f>
        <v>0.41429000300210145</v>
      </c>
      <c r="AC32" s="119">
        <f>Datasheet!AU32/(Datasheet!AU32+Datasheet!AZ32)</f>
        <v>0.90529133209800283</v>
      </c>
      <c r="AD32" s="119">
        <f>Datasheet!AZ32/(Datasheet!AU32+Datasheet!AZ32)</f>
        <v>9.4708667901997112E-2</v>
      </c>
      <c r="AE32" s="117">
        <f>(Datasheet!BB32-Datasheet!BA32)/Datasheet!BA32</f>
        <v>0.21243135297054419</v>
      </c>
      <c r="AF32" s="118">
        <f>(Datasheet!AX32+Datasheet!AT32)/Datasheet!BB32</f>
        <v>0.68581428865554872</v>
      </c>
      <c r="AG32" s="111">
        <f>(Datasheet!AP32*1000)/Datasheet!E32</f>
        <v>680.36621224271585</v>
      </c>
      <c r="AH32" s="119">
        <f>Datasheet!BW32/SUM(Datasheet!$BW32:$BZ32)</f>
        <v>0.66666666666666663</v>
      </c>
      <c r="AI32" s="119">
        <f>Datasheet!BX32/SUM(Datasheet!$BW32:$BZ32)</f>
        <v>0.12318840579710146</v>
      </c>
      <c r="AJ32" s="119">
        <f>Datasheet!BY32/SUM(Datasheet!$BW32:$BZ32)</f>
        <v>2.1739130434782608E-2</v>
      </c>
      <c r="AK32" s="119">
        <f>Datasheet!BZ32/SUM(Datasheet!$BW32:$BZ32)</f>
        <v>0.18840579710144928</v>
      </c>
      <c r="AL32" s="31">
        <f>Datasheet!BR32+Datasheet!BS32</f>
        <v>34</v>
      </c>
      <c r="AM32" s="31">
        <f>100-Datasheet!BV32</f>
        <v>66</v>
      </c>
      <c r="AN32" s="121">
        <f>(Datasheet!CL32-Datasheet!CK32)/Datasheet!CK32</f>
        <v>-0.3</v>
      </c>
    </row>
    <row r="33" spans="1:40">
      <c r="A33" s="42" t="s">
        <v>167</v>
      </c>
      <c r="B33" s="42" t="s">
        <v>168</v>
      </c>
      <c r="C33" s="42" t="s">
        <v>169</v>
      </c>
      <c r="D33" s="116">
        <f>Datasheet!G33/Datasheet!E33</f>
        <v>0.67795625846927543</v>
      </c>
      <c r="E33" s="116">
        <f>Datasheet!I33/Datasheet!E33</f>
        <v>0.32204374153072463</v>
      </c>
      <c r="F33" s="116">
        <f>(Datasheet!E33-Datasheet!D33)/Datasheet!D33</f>
        <v>8.2881956888759656E-2</v>
      </c>
      <c r="G33" s="116">
        <f>(Datasheet!G33-Datasheet!F33)/Datasheet!F33</f>
        <v>4.1976722610036536E-2</v>
      </c>
      <c r="H33" s="116">
        <f>(Datasheet!I33-Datasheet!H33)/Datasheet!H33</f>
        <v>0.18043718765498035</v>
      </c>
      <c r="I33" s="116">
        <f>(Datasheet!K33-Datasheet!J33)/Datasheet!J33</f>
        <v>0.15269212523719164</v>
      </c>
      <c r="J33" s="116">
        <f>Datasheet!F33/Datasheet!D33</f>
        <v>0.7045710176876453</v>
      </c>
      <c r="K33" s="116">
        <f>Datasheet!H33/Datasheet!D33</f>
        <v>0.29542898231235476</v>
      </c>
      <c r="L33" s="116">
        <f>Datasheet!R33/Datasheet!Q33</f>
        <v>0.8928571428571429</v>
      </c>
      <c r="M33" s="117">
        <f>(Datasheet!AB33-Datasheet!AA33)/Datasheet!AA33</f>
        <v>-1.2287528158918697E-3</v>
      </c>
      <c r="N33" s="118">
        <f>Datasheet!AC33/Datasheet!E33</f>
        <v>1.977465222631361E-2</v>
      </c>
      <c r="O33" s="111">
        <f>SUM(Datasheet!AD33:AG33)</f>
        <v>3070</v>
      </c>
      <c r="P33" s="111">
        <f>SUM(Datasheet!AH33:AK33)</f>
        <v>3305</v>
      </c>
      <c r="Q33" s="111">
        <f t="shared" si="0"/>
        <v>6375</v>
      </c>
      <c r="R33" s="118">
        <f>Q33/Datasheet!AC33</f>
        <v>0.67105263157894735</v>
      </c>
      <c r="S33" s="118">
        <f>Datasheet!AL33/Datasheet!G33</f>
        <v>1.0746118348536532E-2</v>
      </c>
      <c r="T33" s="118">
        <f>Datasheet!AM33/Datasheet!I33</f>
        <v>3.8781235053065653E-2</v>
      </c>
      <c r="U33" s="119">
        <f>O33/Datasheet!AL33</f>
        <v>0.87714285714285711</v>
      </c>
      <c r="V33" s="119">
        <f>P33/Datasheet!AM33</f>
        <v>0.55083333333333329</v>
      </c>
      <c r="W33" s="120">
        <f>((Datasheet!AP33-Datasheet!AO33)/Datasheet!AO33)*100</f>
        <v>6.8565400843881852</v>
      </c>
      <c r="X33" s="119">
        <f>Datasheet!AQ33/Datasheet!AR33</f>
        <v>0.47190536713536718</v>
      </c>
      <c r="Y33" s="111">
        <f>Datasheet!AV33+Datasheet!AS33</f>
        <v>164201</v>
      </c>
      <c r="Z33" s="117">
        <f>Datasheet!AW33/(Datasheet!AS33+Datasheet!AV33)</f>
        <v>0.53651926602152245</v>
      </c>
      <c r="AA33" s="111">
        <f>Datasheet!AX33+Datasheet!AT33</f>
        <v>162423</v>
      </c>
      <c r="AB33" s="119">
        <f>Datasheet!AY33/(Datasheet!AT33+Datasheet!AX33)</f>
        <v>0.65799178687747428</v>
      </c>
      <c r="AC33" s="119">
        <f>Datasheet!AU33/(Datasheet!AU33+Datasheet!AZ33)</f>
        <v>0.98760146193750997</v>
      </c>
      <c r="AD33" s="119">
        <f>Datasheet!AZ33/(Datasheet!AU33+Datasheet!AZ33)</f>
        <v>1.2398538062489995E-2</v>
      </c>
      <c r="AE33" s="117">
        <f>(Datasheet!BB33-Datasheet!BA33)/Datasheet!BA33</f>
        <v>0.10358761925526076</v>
      </c>
      <c r="AF33" s="118">
        <f>(Datasheet!AX33+Datasheet!AT33)/Datasheet!BB33</f>
        <v>0.55324388673731106</v>
      </c>
      <c r="AG33" s="111">
        <f>(Datasheet!AP33*1000)/Datasheet!E33</f>
        <v>797.05170343017357</v>
      </c>
      <c r="AH33" s="119">
        <f>Datasheet!BW33/SUM(Datasheet!$BW33:$BZ33)</f>
        <v>0.70336391437308865</v>
      </c>
      <c r="AI33" s="119">
        <f>Datasheet!BX33/SUM(Datasheet!$BW33:$BZ33)</f>
        <v>9.1743119266055051E-2</v>
      </c>
      <c r="AJ33" s="119">
        <f>Datasheet!BY33/SUM(Datasheet!$BW33:$BZ33)</f>
        <v>3.9755351681957186E-2</v>
      </c>
      <c r="AK33" s="119">
        <f>Datasheet!BZ33/SUM(Datasheet!$BW33:$BZ33)</f>
        <v>0.16513761467889909</v>
      </c>
      <c r="AL33" s="31">
        <f>Datasheet!BR33+Datasheet!BS33</f>
        <v>15</v>
      </c>
      <c r="AM33" s="31">
        <f>100-Datasheet!BV33</f>
        <v>13</v>
      </c>
      <c r="AN33" s="121">
        <f>(Datasheet!CL33-Datasheet!CK33)/Datasheet!CK33</f>
        <v>-0.37074829931972791</v>
      </c>
    </row>
    <row r="34" spans="1:40">
      <c r="A34" s="42" t="s">
        <v>170</v>
      </c>
      <c r="B34" s="42" t="s">
        <v>171</v>
      </c>
      <c r="C34" s="42" t="s">
        <v>172</v>
      </c>
      <c r="D34" s="116">
        <f>Datasheet!G34/Datasheet!E34</f>
        <v>0.81857514307870993</v>
      </c>
      <c r="E34" s="116">
        <f>Datasheet!I34/Datasheet!E34</f>
        <v>0.18142485692129004</v>
      </c>
      <c r="F34" s="116">
        <f>(Datasheet!E34-Datasheet!D34)/Datasheet!D34</f>
        <v>0.1067257991231102</v>
      </c>
      <c r="G34" s="116">
        <f>(Datasheet!G34-Datasheet!F34)/Datasheet!F34</f>
        <v>0.11914413874163449</v>
      </c>
      <c r="H34" s="116">
        <f>(Datasheet!I34-Datasheet!H34)/Datasheet!H34</f>
        <v>5.3958741030658841E-2</v>
      </c>
      <c r="I34" s="116">
        <f>(Datasheet!K34-Datasheet!J34)/Datasheet!J34</f>
        <v>3.5734463276836159E-2</v>
      </c>
      <c r="J34" s="116">
        <f>Datasheet!F34/Datasheet!D34</f>
        <v>0.80949200197280791</v>
      </c>
      <c r="K34" s="116">
        <f>Datasheet!H34/Datasheet!D34</f>
        <v>0.19050799802719212</v>
      </c>
      <c r="L34" s="116">
        <f>Datasheet!R34/Datasheet!Q34</f>
        <v>0.83333333333333337</v>
      </c>
      <c r="M34" s="117">
        <f>(Datasheet!AB34-Datasheet!AA34)/Datasheet!AA34</f>
        <v>9.8619329388560158E-3</v>
      </c>
      <c r="N34" s="118">
        <f>Datasheet!AC34/Datasheet!E34</f>
        <v>1.6878199752265923E-2</v>
      </c>
      <c r="O34" s="111">
        <f>SUM(Datasheet!AD34:AG34)</f>
        <v>1315</v>
      </c>
      <c r="P34" s="111">
        <f>SUM(Datasheet!AH34:AK34)</f>
        <v>1945</v>
      </c>
      <c r="Q34" s="111">
        <f t="shared" si="0"/>
        <v>3260</v>
      </c>
      <c r="R34" s="118">
        <f>Q34/Datasheet!AC34</f>
        <v>0.67775467775467779</v>
      </c>
      <c r="S34" s="118">
        <f>Datasheet!AL34/Datasheet!G34</f>
        <v>7.2016460905349796E-3</v>
      </c>
      <c r="T34" s="118">
        <f>Datasheet!AM34/Datasheet!I34</f>
        <v>6.0538073225924992E-2</v>
      </c>
      <c r="U34" s="119">
        <f>O34/Datasheet!AL34</f>
        <v>0.78273809523809523</v>
      </c>
      <c r="V34" s="119">
        <f>P34/Datasheet!AM34</f>
        <v>0.62140575079872207</v>
      </c>
      <c r="W34" s="120">
        <f>((Datasheet!AP34-Datasheet!AO34)/Datasheet!AO34)*100</f>
        <v>0.35686009687034276</v>
      </c>
      <c r="X34" s="119">
        <f>Datasheet!AQ34/Datasheet!AR34</f>
        <v>0.49304553816021068</v>
      </c>
      <c r="Y34" s="111">
        <f>Datasheet!AV34+Datasheet!AS34</f>
        <v>82411</v>
      </c>
      <c r="Z34" s="117">
        <f>Datasheet!AW34/(Datasheet!AS34+Datasheet!AV34)</f>
        <v>0.6317603232578175</v>
      </c>
      <c r="AA34" s="111">
        <f>Datasheet!AX34+Datasheet!AT34</f>
        <v>68040</v>
      </c>
      <c r="AB34" s="119">
        <f>Datasheet!AY34/(Datasheet!AT34+Datasheet!AX34)</f>
        <v>0.57663139329806001</v>
      </c>
      <c r="AC34" s="119">
        <f>Datasheet!AU34/(Datasheet!AU34+Datasheet!AZ34)</f>
        <v>0.94973271995070008</v>
      </c>
      <c r="AD34" s="119">
        <f>Datasheet!AZ34/(Datasheet!AU34+Datasheet!AZ34)</f>
        <v>5.0267280049299916E-2</v>
      </c>
      <c r="AE34" s="117">
        <f>(Datasheet!BB34-Datasheet!BA34)/Datasheet!BA34</f>
        <v>0.10140878418373386</v>
      </c>
      <c r="AF34" s="118">
        <f>(Datasheet!AX34+Datasheet!AT34)/Datasheet!BB34</f>
        <v>0.48755320521088613</v>
      </c>
      <c r="AG34" s="111">
        <f>(Datasheet!AP34*1000)/Datasheet!E34</f>
        <v>604.90976654747828</v>
      </c>
      <c r="AH34" s="119">
        <f>Datasheet!BW34/SUM(Datasheet!$BW34:$BZ34)</f>
        <v>0.7640449438202247</v>
      </c>
      <c r="AI34" s="119">
        <f>Datasheet!BX34/SUM(Datasheet!$BW34:$BZ34)</f>
        <v>8.4269662921348312E-2</v>
      </c>
      <c r="AJ34" s="119">
        <f>Datasheet!BY34/SUM(Datasheet!$BW34:$BZ34)</f>
        <v>3.9325842696629212E-2</v>
      </c>
      <c r="AK34" s="119">
        <f>Datasheet!BZ34/SUM(Datasheet!$BW34:$BZ34)</f>
        <v>0.11235955056179775</v>
      </c>
      <c r="AL34" s="31">
        <f>Datasheet!BR34+Datasheet!BS34</f>
        <v>43</v>
      </c>
      <c r="AM34" s="31">
        <f>100-Datasheet!BV34</f>
        <v>60</v>
      </c>
      <c r="AN34" s="121">
        <f>(Datasheet!CL34-Datasheet!CK34)/Datasheet!CK34</f>
        <v>0.1044776119402985</v>
      </c>
    </row>
    <row r="35" spans="1:40">
      <c r="A35" s="42" t="s">
        <v>173</v>
      </c>
      <c r="B35" s="42" t="s">
        <v>174</v>
      </c>
      <c r="C35" s="42" t="s">
        <v>175</v>
      </c>
      <c r="D35" s="116">
        <f>Datasheet!G35/Datasheet!E35</f>
        <v>0.81604060849965787</v>
      </c>
      <c r="E35" s="116">
        <f>Datasheet!I35/Datasheet!E35</f>
        <v>0.18395939150034218</v>
      </c>
      <c r="F35" s="116">
        <f>(Datasheet!E35-Datasheet!D35)/Datasheet!D35</f>
        <v>9.9721059972105994E-2</v>
      </c>
      <c r="G35" s="116">
        <f>(Datasheet!G35-Datasheet!F35)/Datasheet!F35</f>
        <v>7.9861918846166627E-2</v>
      </c>
      <c r="H35" s="116">
        <f>(Datasheet!I35-Datasheet!H35)/Datasheet!H35</f>
        <v>0.19740498569677156</v>
      </c>
      <c r="I35" s="116">
        <f>(Datasheet!K35-Datasheet!J35)/Datasheet!J35</f>
        <v>0.23112480739599384</v>
      </c>
      <c r="J35" s="116">
        <f>Datasheet!F35/Datasheet!D35</f>
        <v>0.83104795835232059</v>
      </c>
      <c r="K35" s="116">
        <f>Datasheet!H35/Datasheet!D35</f>
        <v>0.16895204164767941</v>
      </c>
      <c r="L35" s="116">
        <f>Datasheet!R35/Datasheet!Q35</f>
        <v>0.86633663366336633</v>
      </c>
      <c r="M35" s="117">
        <f>(Datasheet!AB35-Datasheet!AA35)/Datasheet!AA35</f>
        <v>6.3341493268053856E-2</v>
      </c>
      <c r="N35" s="118">
        <f>Datasheet!AC35/Datasheet!E35</f>
        <v>1.8222970045894887E-2</v>
      </c>
      <c r="O35" s="111">
        <f>SUM(Datasheet!AD35:AG35)</f>
        <v>2005</v>
      </c>
      <c r="P35" s="111">
        <f>SUM(Datasheet!AH35:AK35)</f>
        <v>2255</v>
      </c>
      <c r="Q35" s="111">
        <f t="shared" si="0"/>
        <v>4260</v>
      </c>
      <c r="R35" s="118">
        <f>Q35/Datasheet!AC35</f>
        <v>0.73385012919896642</v>
      </c>
      <c r="S35" s="118">
        <f>Datasheet!AL35/Datasheet!G35</f>
        <v>9.482483371994168E-3</v>
      </c>
      <c r="T35" s="118">
        <f>Datasheet!AM35/Datasheet!I35</f>
        <v>5.6995614409310419E-2</v>
      </c>
      <c r="U35" s="119">
        <f>O35/Datasheet!AL35</f>
        <v>0.81338742393509122</v>
      </c>
      <c r="V35" s="119">
        <f>P35/Datasheet!AM35</f>
        <v>0.67514970059880242</v>
      </c>
      <c r="W35" s="120">
        <f>((Datasheet!AP35-Datasheet!AO35)/Datasheet!AO35)*100</f>
        <v>10.250422978361318</v>
      </c>
      <c r="X35" s="119">
        <f>Datasheet!AQ35/Datasheet!AR35</f>
        <v>0.48574451400903645</v>
      </c>
      <c r="Y35" s="111">
        <f>Datasheet!AV35+Datasheet!AS35</f>
        <v>93213</v>
      </c>
      <c r="Z35" s="117">
        <f>Datasheet!AW35/(Datasheet!AS35+Datasheet!AV35)</f>
        <v>0.50408204864128392</v>
      </c>
      <c r="AA35" s="111">
        <f>Datasheet!AX35+Datasheet!AT35</f>
        <v>92286</v>
      </c>
      <c r="AB35" s="119">
        <f>Datasheet!AY35/(Datasheet!AT35+Datasheet!AX35)</f>
        <v>0.72493119216349178</v>
      </c>
      <c r="AC35" s="119">
        <f>Datasheet!AU35/(Datasheet!AU35+Datasheet!AZ35)</f>
        <v>0.96852606262884067</v>
      </c>
      <c r="AD35" s="119">
        <f>Datasheet!AZ35/(Datasheet!AU35+Datasheet!AZ35)</f>
        <v>3.1473937371159319E-2</v>
      </c>
      <c r="AE35" s="117">
        <f>(Datasheet!BB35-Datasheet!BA35)/Datasheet!BA35</f>
        <v>0.11972740512764145</v>
      </c>
      <c r="AF35" s="118">
        <f>(Datasheet!AX35+Datasheet!AT35)/Datasheet!BB35</f>
        <v>0.56619956807696081</v>
      </c>
      <c r="AG35" s="111">
        <f>(Datasheet!AP35*1000)/Datasheet!E35</f>
        <v>699.59253376193681</v>
      </c>
      <c r="AH35" s="119">
        <f>Datasheet!BW35/SUM(Datasheet!$BW35:$BZ35)</f>
        <v>0.75454545454545452</v>
      </c>
      <c r="AI35" s="119">
        <f>Datasheet!BX35/SUM(Datasheet!$BW35:$BZ35)</f>
        <v>8.6363636363636365E-2</v>
      </c>
      <c r="AJ35" s="119">
        <f>Datasheet!BY35/SUM(Datasheet!$BW35:$BZ35)</f>
        <v>0.05</v>
      </c>
      <c r="AK35" s="119">
        <f>Datasheet!BZ35/SUM(Datasheet!$BW35:$BZ35)</f>
        <v>0.10909090909090909</v>
      </c>
      <c r="AL35" s="31">
        <f>Datasheet!BR35+Datasheet!BS35</f>
        <v>60</v>
      </c>
      <c r="AM35" s="31">
        <f>100-Datasheet!BV35</f>
        <v>84</v>
      </c>
      <c r="AN35" s="121">
        <f>(Datasheet!CL35-Datasheet!CK35)/Datasheet!CK35</f>
        <v>-0.20215633423180593</v>
      </c>
    </row>
    <row r="36" spans="1:40">
      <c r="A36" s="42" t="s">
        <v>176</v>
      </c>
      <c r="B36" s="42" t="s">
        <v>177</v>
      </c>
      <c r="C36" s="42" t="s">
        <v>178</v>
      </c>
      <c r="D36" s="116">
        <f>Datasheet!G36/Datasheet!E36</f>
        <v>0.70013725285798678</v>
      </c>
      <c r="E36" s="116">
        <f>Datasheet!I36/Datasheet!E36</f>
        <v>0.29986274714201328</v>
      </c>
      <c r="F36" s="116">
        <f>(Datasheet!E36-Datasheet!D36)/Datasheet!D36</f>
        <v>3.656279968124046E-2</v>
      </c>
      <c r="G36" s="116">
        <f>(Datasheet!G36-Datasheet!F36)/Datasheet!F36</f>
        <v>-1.1225341054077928E-2</v>
      </c>
      <c r="H36" s="116">
        <f>(Datasheet!I36-Datasheet!H36)/Datasheet!H36</f>
        <v>0.1684126796080356</v>
      </c>
      <c r="I36" s="116">
        <f>(Datasheet!K36-Datasheet!J36)/Datasheet!J36</f>
        <v>0.20790589522637123</v>
      </c>
      <c r="J36" s="116">
        <f>Datasheet!F36/Datasheet!D36</f>
        <v>0.73397535466500985</v>
      </c>
      <c r="K36" s="116">
        <f>Datasheet!H36/Datasheet!D36</f>
        <v>0.26602464533499015</v>
      </c>
      <c r="L36" s="116">
        <f>Datasheet!R36/Datasheet!Q36</f>
        <v>0.88356164383561642</v>
      </c>
      <c r="M36" s="117">
        <f>(Datasheet!AB36-Datasheet!AA36)/Datasheet!AA36</f>
        <v>-1.5107007973143098E-2</v>
      </c>
      <c r="N36" s="118">
        <f>Datasheet!AC36/Datasheet!E36</f>
        <v>2.1348031550783558E-2</v>
      </c>
      <c r="O36" s="111">
        <f>SUM(Datasheet!AD36:AG36)</f>
        <v>1560</v>
      </c>
      <c r="P36" s="111">
        <f>SUM(Datasheet!AH36:AK36)</f>
        <v>1770</v>
      </c>
      <c r="Q36" s="111">
        <f t="shared" si="0"/>
        <v>3330</v>
      </c>
      <c r="R36" s="118">
        <f>Q36/Datasheet!AC36</f>
        <v>0.67751780264496442</v>
      </c>
      <c r="S36" s="118">
        <f>Datasheet!AL36/Datasheet!G36</f>
        <v>1.057731677357718E-2</v>
      </c>
      <c r="T36" s="118">
        <f>Datasheet!AM36/Datasheet!I36</f>
        <v>4.6496132564674525E-2</v>
      </c>
      <c r="U36" s="119">
        <f>O36/Datasheet!AL36</f>
        <v>0.91495601173020524</v>
      </c>
      <c r="V36" s="119">
        <f>P36/Datasheet!AM36</f>
        <v>0.55140186915887845</v>
      </c>
      <c r="W36" s="120">
        <f>((Datasheet!AP36-Datasheet!AO36)/Datasheet!AO36)*100</f>
        <v>8.5396853372016572</v>
      </c>
      <c r="X36" s="119" t="e">
        <f>Datasheet!AQ36/Datasheet!AR36</f>
        <v>#VALUE!</v>
      </c>
      <c r="Y36" s="111">
        <f>Datasheet!AV36+Datasheet!AS36</f>
        <v>52363</v>
      </c>
      <c r="Z36" s="117">
        <f>Datasheet!AW36/(Datasheet!AS36+Datasheet!AV36)</f>
        <v>0.69281744743425699</v>
      </c>
      <c r="AA36" s="111">
        <f>Datasheet!AX36+Datasheet!AT36</f>
        <v>87432</v>
      </c>
      <c r="AB36" s="119">
        <f>Datasheet!AY36/(Datasheet!AT36+Datasheet!AX36)</f>
        <v>0.62024201665294176</v>
      </c>
      <c r="AC36" s="119">
        <f>Datasheet!AU36/(Datasheet!AU36+Datasheet!AZ36)</f>
        <v>0.96225633472187067</v>
      </c>
      <c r="AD36" s="119">
        <f>Datasheet!AZ36/(Datasheet!AU36+Datasheet!AZ36)</f>
        <v>3.774366527812939E-2</v>
      </c>
      <c r="AE36" s="117">
        <f>(Datasheet!BB36-Datasheet!BA36)/Datasheet!BA36</f>
        <v>0.11092835167082847</v>
      </c>
      <c r="AF36" s="118">
        <f>(Datasheet!AX36+Datasheet!AT36)/Datasheet!BB36</f>
        <v>0.67073254930841641</v>
      </c>
      <c r="AG36" s="111">
        <f>(Datasheet!AP36*1000)/Datasheet!E36</f>
        <v>695.47673650926026</v>
      </c>
      <c r="AH36" s="119">
        <f>Datasheet!BW36/SUM(Datasheet!$BW36:$BZ36)</f>
        <v>0.72982456140350882</v>
      </c>
      <c r="AI36" s="119">
        <f>Datasheet!BX36/SUM(Datasheet!$BW36:$BZ36)</f>
        <v>9.1228070175438603E-2</v>
      </c>
      <c r="AJ36" s="119">
        <f>Datasheet!BY36/SUM(Datasheet!$BW36:$BZ36)</f>
        <v>4.5614035087719301E-2</v>
      </c>
      <c r="AK36" s="119">
        <f>Datasheet!BZ36/SUM(Datasheet!$BW36:$BZ36)</f>
        <v>0.13333333333333333</v>
      </c>
      <c r="AL36" s="31">
        <f>Datasheet!BR36+Datasheet!BS36</f>
        <v>10</v>
      </c>
      <c r="AM36" s="31">
        <f>100-Datasheet!BV36</f>
        <v>7</v>
      </c>
      <c r="AN36" s="121" t="e">
        <f>(Datasheet!CL36-Datasheet!CK36)/Datasheet!CK36</f>
        <v>#VALUE!</v>
      </c>
    </row>
    <row r="37" spans="1:40">
      <c r="A37" s="42" t="s">
        <v>179</v>
      </c>
      <c r="B37" s="42" t="s">
        <v>180</v>
      </c>
      <c r="C37" s="42" t="s">
        <v>181</v>
      </c>
      <c r="D37" s="116">
        <f>Datasheet!G37/Datasheet!E37</f>
        <v>0.73099970204266307</v>
      </c>
      <c r="E37" s="116">
        <f>Datasheet!I37/Datasheet!E37</f>
        <v>0.26900029795733693</v>
      </c>
      <c r="F37" s="116">
        <f>(Datasheet!E37-Datasheet!D37)/Datasheet!D37</f>
        <v>8.6404507852775453E-2</v>
      </c>
      <c r="G37" s="116">
        <f>(Datasheet!G37-Datasheet!F37)/Datasheet!F37</f>
        <v>5.0460679680933727E-2</v>
      </c>
      <c r="H37" s="116">
        <f>(Datasheet!I37-Datasheet!H37)/Datasheet!H37</f>
        <v>0.1977789789199548</v>
      </c>
      <c r="I37" s="116">
        <f>(Datasheet!K37-Datasheet!J37)/Datasheet!J37</f>
        <v>0.22711991034740381</v>
      </c>
      <c r="J37" s="116">
        <f>Datasheet!F37/Datasheet!D37</f>
        <v>0.75601246852895332</v>
      </c>
      <c r="K37" s="116">
        <f>Datasheet!H37/Datasheet!D37</f>
        <v>0.24398753147104663</v>
      </c>
      <c r="L37" s="116">
        <f>Datasheet!R37/Datasheet!Q37</f>
        <v>0.82352941176470584</v>
      </c>
      <c r="M37" s="117">
        <f>(Datasheet!AB37-Datasheet!AA37)/Datasheet!AA37</f>
        <v>-1.5837104072398189E-2</v>
      </c>
      <c r="N37" s="118">
        <f>Datasheet!AC37/Datasheet!E37</f>
        <v>1.8870631338490571E-2</v>
      </c>
      <c r="O37" s="111">
        <f>SUM(Datasheet!AD37:AG37)</f>
        <v>480</v>
      </c>
      <c r="P37" s="111">
        <f>SUM(Datasheet!AH37:AK37)</f>
        <v>550</v>
      </c>
      <c r="Q37" s="111">
        <f t="shared" si="0"/>
        <v>1030</v>
      </c>
      <c r="R37" s="118">
        <f>Q37/Datasheet!AC37</f>
        <v>0.60233918128654973</v>
      </c>
      <c r="S37" s="118">
        <f>Datasheet!AL37/Datasheet!G37</f>
        <v>8.3030147491734724E-3</v>
      </c>
      <c r="T37" s="118">
        <f>Datasheet!AM37/Datasheet!I37</f>
        <v>4.7587791270101737E-2</v>
      </c>
      <c r="U37" s="119">
        <f>O37/Datasheet!AL37</f>
        <v>0.87272727272727268</v>
      </c>
      <c r="V37" s="119">
        <f>P37/Datasheet!AM37</f>
        <v>0.47413793103448276</v>
      </c>
      <c r="W37" s="120">
        <f>((Datasheet!AP37-Datasheet!AO37)/Datasheet!AO37)*100</f>
        <v>3.2664563751941462</v>
      </c>
      <c r="X37" s="119">
        <f>Datasheet!AQ37/Datasheet!AR37</f>
        <v>0.47225543160714445</v>
      </c>
      <c r="Y37" s="111">
        <f>Datasheet!AV37+Datasheet!AS37</f>
        <v>23974</v>
      </c>
      <c r="Z37" s="117">
        <f>Datasheet!AW37/(Datasheet!AS37+Datasheet!AV37)</f>
        <v>0.70488862934846086</v>
      </c>
      <c r="AA37" s="111">
        <f>Datasheet!AX37+Datasheet!AT37</f>
        <v>30064</v>
      </c>
      <c r="AB37" s="119">
        <f>Datasheet!AY37/(Datasheet!AT37+Datasheet!AX37)</f>
        <v>0.6206426290580096</v>
      </c>
      <c r="AC37" s="119">
        <f>Datasheet!AU37/(Datasheet!AU37+Datasheet!AZ37)</f>
        <v>0.88671837410265786</v>
      </c>
      <c r="AD37" s="119">
        <f>Datasheet!AZ37/(Datasheet!AU37+Datasheet!AZ37)</f>
        <v>0.11328162589734214</v>
      </c>
      <c r="AE37" s="117">
        <f>(Datasheet!BB37-Datasheet!BA37)/Datasheet!BA37</f>
        <v>0.15019701598264487</v>
      </c>
      <c r="AF37" s="118">
        <f>(Datasheet!AX37+Datasheet!AT37)/Datasheet!BB37</f>
        <v>0.57861005793029119</v>
      </c>
      <c r="AG37" s="111">
        <f>(Datasheet!AP37*1000)/Datasheet!E37</f>
        <v>711.7097233410949</v>
      </c>
      <c r="AH37" s="119">
        <f>Datasheet!BW37/SUM(Datasheet!$BW37:$BZ37)</f>
        <v>0.72463768115942029</v>
      </c>
      <c r="AI37" s="119">
        <f>Datasheet!BX37/SUM(Datasheet!$BW37:$BZ37)</f>
        <v>8.6956521739130432E-2</v>
      </c>
      <c r="AJ37" s="119">
        <f>Datasheet!BY37/SUM(Datasheet!$BW37:$BZ37)</f>
        <v>5.0724637681159424E-2</v>
      </c>
      <c r="AK37" s="119">
        <f>Datasheet!BZ37/SUM(Datasheet!$BW37:$BZ37)</f>
        <v>0.13768115942028986</v>
      </c>
      <c r="AL37" s="31">
        <f>Datasheet!BR37+Datasheet!BS37</f>
        <v>11</v>
      </c>
      <c r="AM37" s="31">
        <f>100-Datasheet!BV37</f>
        <v>6</v>
      </c>
      <c r="AN37" s="121">
        <f>(Datasheet!CL37-Datasheet!CK37)/Datasheet!CK37</f>
        <v>0.13461538461538461</v>
      </c>
    </row>
    <row r="38" spans="1:40">
      <c r="A38" s="42" t="s">
        <v>182</v>
      </c>
      <c r="B38" s="42" t="s">
        <v>183</v>
      </c>
      <c r="C38" s="42" t="s">
        <v>184</v>
      </c>
      <c r="D38" s="116">
        <f>Datasheet!G38/Datasheet!E38</f>
        <v>0.78824127683199363</v>
      </c>
      <c r="E38" s="116">
        <f>Datasheet!I38/Datasheet!E38</f>
        <v>0.21175872316800642</v>
      </c>
      <c r="F38" s="116">
        <f>(Datasheet!E38-Datasheet!D38)/Datasheet!D38</f>
        <v>7.7468682765970284E-2</v>
      </c>
      <c r="G38" s="116">
        <f>(Datasheet!G38-Datasheet!F38)/Datasheet!F38</f>
        <v>6.8159546825311529E-2</v>
      </c>
      <c r="H38" s="116">
        <f>(Datasheet!I38-Datasheet!H38)/Datasheet!H38</f>
        <v>0.11359454353639686</v>
      </c>
      <c r="I38" s="116">
        <f>(Datasheet!K38-Datasheet!J38)/Datasheet!J38</f>
        <v>0.12939592798250041</v>
      </c>
      <c r="J38" s="116">
        <f>Datasheet!F38/Datasheet!D38</f>
        <v>0.79511089216415665</v>
      </c>
      <c r="K38" s="116">
        <f>Datasheet!H38/Datasheet!D38</f>
        <v>0.20488910783584341</v>
      </c>
      <c r="L38" s="116">
        <f>Datasheet!R38/Datasheet!Q38</f>
        <v>0.85142857142857142</v>
      </c>
      <c r="M38" s="117">
        <f>(Datasheet!AB38-Datasheet!AA38)/Datasheet!AA38</f>
        <v>6.2526766595289079E-2</v>
      </c>
      <c r="N38" s="118">
        <f>Datasheet!AC38/Datasheet!E38</f>
        <v>2.1997452680983284E-2</v>
      </c>
      <c r="O38" s="111">
        <f>SUM(Datasheet!AD38:AG38)</f>
        <v>1445</v>
      </c>
      <c r="P38" s="111">
        <f>SUM(Datasheet!AH38:AK38)</f>
        <v>2050</v>
      </c>
      <c r="Q38" s="111">
        <f t="shared" si="0"/>
        <v>3495</v>
      </c>
      <c r="R38" s="118">
        <f>Q38/Datasheet!AC38</f>
        <v>0.74125132555673379</v>
      </c>
      <c r="S38" s="118">
        <f>Datasheet!AL38/Datasheet!G38</f>
        <v>9.9435349266664298E-3</v>
      </c>
      <c r="T38" s="118">
        <f>Datasheet!AM38/Datasheet!I38</f>
        <v>6.686642137962942E-2</v>
      </c>
      <c r="U38" s="119">
        <f>O38/Datasheet!AL38</f>
        <v>0.86011904761904767</v>
      </c>
      <c r="V38" s="119">
        <f>P38/Datasheet!AM38</f>
        <v>0.67545304777594728</v>
      </c>
      <c r="W38" s="120">
        <f>((Datasheet!AP38-Datasheet!AO38)/Datasheet!AO38)*100</f>
        <v>6.6358421097696727</v>
      </c>
      <c r="X38" s="119">
        <f>Datasheet!AQ38/Datasheet!AR38</f>
        <v>0.42805268424317339</v>
      </c>
      <c r="Y38" s="111">
        <f>Datasheet!AV38+Datasheet!AS38</f>
        <v>53697</v>
      </c>
      <c r="Z38" s="117">
        <f>Datasheet!AW38/(Datasheet!AS38+Datasheet!AV38)</f>
        <v>0.55407192208130807</v>
      </c>
      <c r="AA38" s="111">
        <f>Datasheet!AX38+Datasheet!AT38</f>
        <v>46061</v>
      </c>
      <c r="AB38" s="119">
        <f>Datasheet!AY38/(Datasheet!AT38+Datasheet!AX38)</f>
        <v>0.59065152732246373</v>
      </c>
      <c r="AC38" s="119">
        <f>Datasheet!AU38/(Datasheet!AU38+Datasheet!AZ38)</f>
        <v>0.99461552686253818</v>
      </c>
      <c r="AD38" s="119">
        <f>Datasheet!AZ38/(Datasheet!AU38+Datasheet!AZ38)</f>
        <v>5.3844731374617918E-3</v>
      </c>
      <c r="AE38" s="117">
        <f>(Datasheet!BB38-Datasheet!BA38)/Datasheet!BA38</f>
        <v>7.9838842295675047E-2</v>
      </c>
      <c r="AF38" s="118">
        <f>(Datasheet!AX38+Datasheet!AT38)/Datasheet!BB38</f>
        <v>0.50103882259520727</v>
      </c>
      <c r="AG38" s="111">
        <f>(Datasheet!AP38*1000)/Datasheet!E38</f>
        <v>522.92820386016808</v>
      </c>
      <c r="AH38" s="119">
        <f>Datasheet!BW38/SUM(Datasheet!$BW38:$BZ38)</f>
        <v>0.75641025641025639</v>
      </c>
      <c r="AI38" s="119">
        <f>Datasheet!BX38/SUM(Datasheet!$BW38:$BZ38)</f>
        <v>8.3333333333333329E-2</v>
      </c>
      <c r="AJ38" s="119">
        <f>Datasheet!BY38/SUM(Datasheet!$BW38:$BZ38)</f>
        <v>3.8461538461538464E-2</v>
      </c>
      <c r="AK38" s="119">
        <f>Datasheet!BZ38/SUM(Datasheet!$BW38:$BZ38)</f>
        <v>0.12179487179487179</v>
      </c>
      <c r="AL38" s="31">
        <f>Datasheet!BR38+Datasheet!BS38</f>
        <v>38</v>
      </c>
      <c r="AM38" s="31">
        <f>100-Datasheet!BV38</f>
        <v>51</v>
      </c>
      <c r="AN38" s="121">
        <f>(Datasheet!CL38-Datasheet!CK38)/Datasheet!CK38</f>
        <v>0.10869565217391304</v>
      </c>
    </row>
    <row r="39" spans="1:40">
      <c r="A39" s="42" t="s">
        <v>185</v>
      </c>
      <c r="B39" s="42" t="s">
        <v>186</v>
      </c>
      <c r="C39" s="42" t="s">
        <v>187</v>
      </c>
      <c r="D39" s="116">
        <f>Datasheet!G39/Datasheet!E39</f>
        <v>0.71718565968173986</v>
      </c>
      <c r="E39" s="116">
        <f>Datasheet!I39/Datasheet!E39</f>
        <v>0.28281434031826014</v>
      </c>
      <c r="F39" s="116">
        <f>(Datasheet!E39-Datasheet!D39)/Datasheet!D39</f>
        <v>7.4975830254758721E-2</v>
      </c>
      <c r="G39" s="116">
        <f>(Datasheet!G39-Datasheet!F39)/Datasheet!F39</f>
        <v>4.076821518322684E-2</v>
      </c>
      <c r="H39" s="116">
        <f>(Datasheet!I39-Datasheet!H39)/Datasheet!H39</f>
        <v>0.17272059322923419</v>
      </c>
      <c r="I39" s="116">
        <f>(Datasheet!K39-Datasheet!J39)/Datasheet!J39</f>
        <v>0.18005161682101109</v>
      </c>
      <c r="J39" s="116">
        <f>Datasheet!F39/Datasheet!D39</f>
        <v>0.7407578735746253</v>
      </c>
      <c r="K39" s="116">
        <f>Datasheet!H39/Datasheet!D39</f>
        <v>0.2592421264253747</v>
      </c>
      <c r="L39" s="116">
        <f>Datasheet!R39/Datasheet!Q39</f>
        <v>0.85365853658536583</v>
      </c>
      <c r="M39" s="117">
        <f>(Datasheet!AB39-Datasheet!AA39)/Datasheet!AA39</f>
        <v>5.5467511885895406E-3</v>
      </c>
      <c r="N39" s="118">
        <f>Datasheet!AC39/Datasheet!E39</f>
        <v>1.9200731399710239E-2</v>
      </c>
      <c r="O39" s="111">
        <f>SUM(Datasheet!AD39:AG39)</f>
        <v>3305</v>
      </c>
      <c r="P39" s="111">
        <f>SUM(Datasheet!AH39:AK39)</f>
        <v>5210</v>
      </c>
      <c r="Q39" s="111">
        <f t="shared" si="0"/>
        <v>8515</v>
      </c>
      <c r="R39" s="118">
        <f>Q39/Datasheet!AC39</f>
        <v>0.66033346258239622</v>
      </c>
      <c r="S39" s="118">
        <f>Datasheet!AL39/Datasheet!G39</f>
        <v>8.2839548721696486E-3</v>
      </c>
      <c r="T39" s="118">
        <f>Datasheet!AM39/Datasheet!I39</f>
        <v>4.6884460473319817E-2</v>
      </c>
      <c r="U39" s="119">
        <f>O39/Datasheet!AL39</f>
        <v>0.82832080200501257</v>
      </c>
      <c r="V39" s="119">
        <f>P39/Datasheet!AM39</f>
        <v>0.58506457046603033</v>
      </c>
      <c r="W39" s="120">
        <f>((Datasheet!AP39-Datasheet!AO39)/Datasheet!AO39)*100</f>
        <v>-3.8111698685962323</v>
      </c>
      <c r="X39" s="119">
        <f>Datasheet!AQ39/Datasheet!AR39</f>
        <v>0.65592941622920753</v>
      </c>
      <c r="Y39" s="111">
        <f>Datasheet!AV39+Datasheet!AS39</f>
        <v>177613</v>
      </c>
      <c r="Z39" s="117">
        <f>Datasheet!AW39/(Datasheet!AS39+Datasheet!AV39)</f>
        <v>0.64810008276421205</v>
      </c>
      <c r="AA39" s="111">
        <f>Datasheet!AX39+Datasheet!AT39</f>
        <v>207646</v>
      </c>
      <c r="AB39" s="119">
        <f>Datasheet!AY39/(Datasheet!AT39+Datasheet!AX39)</f>
        <v>0.75344576827870513</v>
      </c>
      <c r="AC39" s="119">
        <f>Datasheet!AU39/(Datasheet!AU39+Datasheet!AZ39)</f>
        <v>0.93598531942450902</v>
      </c>
      <c r="AD39" s="119">
        <f>Datasheet!AZ39/(Datasheet!AU39+Datasheet!AZ39)</f>
        <v>6.401468057549102E-2</v>
      </c>
      <c r="AE39" s="117">
        <f>(Datasheet!BB39-Datasheet!BA39)/Datasheet!BA39</f>
        <v>-8.4964789986818515E-2</v>
      </c>
      <c r="AF39" s="118">
        <f>(Datasheet!AX39+Datasheet!AT39)/Datasheet!BB39</f>
        <v>0.53896088727155689</v>
      </c>
      <c r="AG39" s="111">
        <f>(Datasheet!AP39*1000)/Datasheet!E39</f>
        <v>652.99908128334448</v>
      </c>
      <c r="AH39" s="119">
        <f>Datasheet!BW39/SUM(Datasheet!$BW39:$BZ39)</f>
        <v>0.71100917431192656</v>
      </c>
      <c r="AI39" s="119">
        <f>Datasheet!BX39/SUM(Datasheet!$BW39:$BZ39)</f>
        <v>7.7981651376146793E-2</v>
      </c>
      <c r="AJ39" s="119">
        <f>Datasheet!BY39/SUM(Datasheet!$BW39:$BZ39)</f>
        <v>5.9633027522935783E-2</v>
      </c>
      <c r="AK39" s="119">
        <f>Datasheet!BZ39/SUM(Datasheet!$BW39:$BZ39)</f>
        <v>0.15137614678899083</v>
      </c>
      <c r="AL39" s="31">
        <f>Datasheet!BR39+Datasheet!BS39</f>
        <v>15</v>
      </c>
      <c r="AM39" s="31">
        <f>100-Datasheet!BV39</f>
        <v>20</v>
      </c>
      <c r="AN39" s="121">
        <f>(Datasheet!CL39-Datasheet!CK39)/Datasheet!CK39</f>
        <v>0.17501375894331314</v>
      </c>
    </row>
    <row r="40" spans="1:40">
      <c r="A40" s="42" t="s">
        <v>188</v>
      </c>
      <c r="B40" s="42" t="s">
        <v>189</v>
      </c>
      <c r="C40" s="42" t="s">
        <v>190</v>
      </c>
      <c r="D40" s="116">
        <f>Datasheet!G40/Datasheet!E40</f>
        <v>0.67554861849286751</v>
      </c>
      <c r="E40" s="116">
        <f>Datasheet!I40/Datasheet!E40</f>
        <v>0.32445138150713249</v>
      </c>
      <c r="F40" s="116">
        <f>(Datasheet!E40-Datasheet!D40)/Datasheet!D40</f>
        <v>0.11756636411165702</v>
      </c>
      <c r="G40" s="116">
        <f>(Datasheet!G40-Datasheet!F40)/Datasheet!F40</f>
        <v>8.3316317985872287E-2</v>
      </c>
      <c r="H40" s="116">
        <f>(Datasheet!I40-Datasheet!H40)/Datasheet!H40</f>
        <v>0.19631798280318616</v>
      </c>
      <c r="I40" s="116">
        <f>(Datasheet!K40-Datasheet!J40)/Datasheet!J40</f>
        <v>0.14798761609907121</v>
      </c>
      <c r="J40" s="116">
        <f>Datasheet!F40/Datasheet!D40</f>
        <v>0.69690671211653665</v>
      </c>
      <c r="K40" s="116">
        <f>Datasheet!H40/Datasheet!D40</f>
        <v>0.30309328788346329</v>
      </c>
      <c r="L40" s="116">
        <f>Datasheet!R40/Datasheet!Q40</f>
        <v>0.87242798353909468</v>
      </c>
      <c r="M40" s="117">
        <f>(Datasheet!AB40-Datasheet!AA40)/Datasheet!AA40</f>
        <v>3.5714285714285712E-2</v>
      </c>
      <c r="N40" s="118">
        <f>Datasheet!AC40/Datasheet!E40</f>
        <v>1.9828808425955996E-2</v>
      </c>
      <c r="O40" s="111">
        <f>SUM(Datasheet!AD40:AG40)</f>
        <v>4380</v>
      </c>
      <c r="P40" s="111">
        <f>SUM(Datasheet!AH40:AK40)</f>
        <v>4565</v>
      </c>
      <c r="Q40" s="111">
        <f t="shared" si="0"/>
        <v>8945</v>
      </c>
      <c r="R40" s="118">
        <f>Q40/Datasheet!AC40</f>
        <v>0.64538239538239539</v>
      </c>
      <c r="S40" s="118">
        <f>Datasheet!AL40/Datasheet!G40</f>
        <v>1.0652333665821681E-2</v>
      </c>
      <c r="T40" s="118">
        <f>Datasheet!AM40/Datasheet!I40</f>
        <v>3.8935384018413836E-2</v>
      </c>
      <c r="U40" s="119">
        <f>O40/Datasheet!AL40</f>
        <v>0.87077534791252487</v>
      </c>
      <c r="V40" s="119">
        <f>P40/Datasheet!AM40</f>
        <v>0.51698754246885614</v>
      </c>
      <c r="W40" s="120">
        <f>((Datasheet!AP40-Datasheet!AO40)/Datasheet!AO40)*100</f>
        <v>7.5052789066561969</v>
      </c>
      <c r="X40" s="119">
        <f>Datasheet!AQ40/Datasheet!AR40</f>
        <v>0.58647308390866915</v>
      </c>
      <c r="Y40" s="111">
        <f>Datasheet!AV40+Datasheet!AS40</f>
        <v>170989</v>
      </c>
      <c r="Z40" s="117">
        <f>Datasheet!AW40/(Datasheet!AS40+Datasheet!AV40)</f>
        <v>0.63181257273859726</v>
      </c>
      <c r="AA40" s="111">
        <f>Datasheet!AX40+Datasheet!AT40</f>
        <v>251342</v>
      </c>
      <c r="AB40" s="119">
        <f>Datasheet!AY40/(Datasheet!AT40+Datasheet!AX40)</f>
        <v>0.51322898679886375</v>
      </c>
      <c r="AC40" s="119">
        <f>Datasheet!AU40/(Datasheet!AU40+Datasheet!AZ40)</f>
        <v>0.96115742511153601</v>
      </c>
      <c r="AD40" s="119">
        <f>Datasheet!AZ40/(Datasheet!AU40+Datasheet!AZ40)</f>
        <v>3.8842574888463988E-2</v>
      </c>
      <c r="AE40" s="117">
        <f>(Datasheet!BB40-Datasheet!BA40)/Datasheet!BA40</f>
        <v>6.0069238939201075E-2</v>
      </c>
      <c r="AF40" s="118">
        <f>(Datasheet!AX40+Datasheet!AT40)/Datasheet!BB40</f>
        <v>0.64076991714467812</v>
      </c>
      <c r="AG40" s="111">
        <f>(Datasheet!AP40*1000)/Datasheet!E40</f>
        <v>724.74008666877444</v>
      </c>
      <c r="AH40" s="119">
        <f>Datasheet!BW40/SUM(Datasheet!$BW40:$BZ40)</f>
        <v>0.71100917431192656</v>
      </c>
      <c r="AI40" s="119">
        <f>Datasheet!BX40/SUM(Datasheet!$BW40:$BZ40)</f>
        <v>9.6330275229357804E-2</v>
      </c>
      <c r="AJ40" s="119">
        <f>Datasheet!BY40/SUM(Datasheet!$BW40:$BZ40)</f>
        <v>3.669724770642202E-2</v>
      </c>
      <c r="AK40" s="119">
        <f>Datasheet!BZ40/SUM(Datasheet!$BW40:$BZ40)</f>
        <v>0.15596330275229359</v>
      </c>
      <c r="AL40" s="31">
        <f>Datasheet!BR40+Datasheet!BS40</f>
        <v>21</v>
      </c>
      <c r="AM40" s="31">
        <f>100-Datasheet!BV40</f>
        <v>17</v>
      </c>
      <c r="AN40" s="121">
        <f>(Datasheet!CL40-Datasheet!CK40)/Datasheet!CK40</f>
        <v>-0.12053571428571429</v>
      </c>
    </row>
    <row r="41" spans="1:40">
      <c r="A41" s="42" t="s">
        <v>191</v>
      </c>
      <c r="B41" s="42" t="s">
        <v>192</v>
      </c>
      <c r="C41" s="42" t="s">
        <v>193</v>
      </c>
      <c r="D41" s="116">
        <f>Datasheet!G41/Datasheet!E41</f>
        <v>0.74884479904602763</v>
      </c>
      <c r="E41" s="116">
        <f>Datasheet!I41/Datasheet!E41</f>
        <v>0.25115520095397242</v>
      </c>
      <c r="F41" s="116">
        <f>(Datasheet!E41-Datasheet!D41)/Datasheet!D41</f>
        <v>6.2853855197658612E-2</v>
      </c>
      <c r="G41" s="116">
        <f>(Datasheet!G41-Datasheet!F41)/Datasheet!F41</f>
        <v>3.8514682362669049E-2</v>
      </c>
      <c r="H41" s="116">
        <f>(Datasheet!I41-Datasheet!H41)/Datasheet!H41</f>
        <v>0.14270416904625929</v>
      </c>
      <c r="I41" s="116">
        <f>(Datasheet!K41-Datasheet!J41)/Datasheet!J41</f>
        <v>0.12449039021549214</v>
      </c>
      <c r="J41" s="116">
        <f>Datasheet!F41/Datasheet!D41</f>
        <v>0.76639511711095731</v>
      </c>
      <c r="K41" s="116">
        <f>Datasheet!H41/Datasheet!D41</f>
        <v>0.23360488288904269</v>
      </c>
      <c r="L41" s="116">
        <f>Datasheet!R41/Datasheet!Q41</f>
        <v>0.86124401913875603</v>
      </c>
      <c r="M41" s="117">
        <f>(Datasheet!AB41-Datasheet!AA41)/Datasheet!AA41</f>
        <v>2.6800000000000001E-2</v>
      </c>
      <c r="N41" s="118">
        <f>Datasheet!AC41/Datasheet!E41</f>
        <v>1.8946080161924263E-2</v>
      </c>
      <c r="O41" s="111">
        <f>SUM(Datasheet!AD41:AG41)</f>
        <v>1400</v>
      </c>
      <c r="P41" s="111">
        <f>SUM(Datasheet!AH41:AK41)</f>
        <v>1830</v>
      </c>
      <c r="Q41" s="111">
        <f t="shared" si="0"/>
        <v>3230</v>
      </c>
      <c r="R41" s="118">
        <f>Q41/Datasheet!AC41</f>
        <v>0.66873706004140787</v>
      </c>
      <c r="S41" s="118">
        <f>Datasheet!AL41/Datasheet!G41</f>
        <v>8.7215697777964021E-3</v>
      </c>
      <c r="T41" s="118">
        <f>Datasheet!AM41/Datasheet!I41</f>
        <v>4.9431498719310303E-2</v>
      </c>
      <c r="U41" s="119">
        <f>O41/Datasheet!AL41</f>
        <v>0.84084084084084088</v>
      </c>
      <c r="V41" s="119">
        <f>P41/Datasheet!AM41</f>
        <v>0.5781990521327014</v>
      </c>
      <c r="W41" s="120">
        <f>((Datasheet!AP41-Datasheet!AO41)/Datasheet!AO41)*100</f>
        <v>11.265147842947163</v>
      </c>
      <c r="X41" s="119">
        <f>Datasheet!AQ41/Datasheet!AR41</f>
        <v>0.5494412105090426</v>
      </c>
      <c r="Y41" s="111">
        <f>Datasheet!AV41+Datasheet!AS41</f>
        <v>78468</v>
      </c>
      <c r="Z41" s="117">
        <f>Datasheet!AW41/(Datasheet!AS41+Datasheet!AV41)</f>
        <v>0.67264362542692557</v>
      </c>
      <c r="AA41" s="111">
        <f>Datasheet!AX41+Datasheet!AT41</f>
        <v>79867</v>
      </c>
      <c r="AB41" s="119">
        <f>Datasheet!AY41/(Datasheet!AT41+Datasheet!AX41)</f>
        <v>0.68903301739141321</v>
      </c>
      <c r="AC41" s="119">
        <f>Datasheet!AU41/(Datasheet!AU41+Datasheet!AZ41)</f>
        <v>0.95598650328538448</v>
      </c>
      <c r="AD41" s="119">
        <f>Datasheet!AZ41/(Datasheet!AU41+Datasheet!AZ41)</f>
        <v>4.4013496714615519E-2</v>
      </c>
      <c r="AE41" s="117">
        <f>(Datasheet!BB41-Datasheet!BA41)/Datasheet!BA41</f>
        <v>0.10779291295828514</v>
      </c>
      <c r="AF41" s="118">
        <f>(Datasheet!AX41+Datasheet!AT41)/Datasheet!BB41</f>
        <v>0.56733795063043868</v>
      </c>
      <c r="AG41" s="111">
        <f>(Datasheet!AP41*1000)/Datasheet!E41</f>
        <v>765.33141911239773</v>
      </c>
      <c r="AH41" s="119">
        <f>Datasheet!BW41/SUM(Datasheet!$BW41:$BZ41)</f>
        <v>0.73939393939393938</v>
      </c>
      <c r="AI41" s="119">
        <f>Datasheet!BX41/SUM(Datasheet!$BW41:$BZ41)</f>
        <v>7.2727272727272724E-2</v>
      </c>
      <c r="AJ41" s="119">
        <f>Datasheet!BY41/SUM(Datasheet!$BW41:$BZ41)</f>
        <v>3.0303030303030304E-2</v>
      </c>
      <c r="AK41" s="119">
        <f>Datasheet!BZ41/SUM(Datasheet!$BW41:$BZ41)</f>
        <v>0.15757575757575756</v>
      </c>
      <c r="AL41" s="31">
        <f>Datasheet!BR41+Datasheet!BS41</f>
        <v>13</v>
      </c>
      <c r="AM41" s="31">
        <f>100-Datasheet!BV41</f>
        <v>11</v>
      </c>
      <c r="AN41" s="121">
        <f>(Datasheet!CL41-Datasheet!CK41)/Datasheet!CK41</f>
        <v>-7.1942446043165464E-2</v>
      </c>
    </row>
    <row r="42" spans="1:40">
      <c r="A42" s="42" t="s">
        <v>194</v>
      </c>
      <c r="B42" s="42" t="s">
        <v>195</v>
      </c>
      <c r="C42" s="42" t="s">
        <v>196</v>
      </c>
      <c r="D42" s="116">
        <f>Datasheet!G42/Datasheet!E42</f>
        <v>0.6250541855867876</v>
      </c>
      <c r="E42" s="116">
        <f>Datasheet!I42/Datasheet!E42</f>
        <v>0.37494581441321234</v>
      </c>
      <c r="F42" s="116">
        <f>(Datasheet!E42-Datasheet!D42)/Datasheet!D42</f>
        <v>7.5144527776767805E-2</v>
      </c>
      <c r="G42" s="116">
        <f>(Datasheet!G42-Datasheet!F42)/Datasheet!F42</f>
        <v>1.4581565946404512E-2</v>
      </c>
      <c r="H42" s="116">
        <f>(Datasheet!I42-Datasheet!H42)/Datasheet!H42</f>
        <v>0.19395576962612704</v>
      </c>
      <c r="I42" s="116">
        <f>(Datasheet!K42-Datasheet!J42)/Datasheet!J42</f>
        <v>0.18233752268297601</v>
      </c>
      <c r="J42" s="116">
        <f>Datasheet!F42/Datasheet!D42</f>
        <v>0.6623652644139395</v>
      </c>
      <c r="K42" s="116">
        <f>Datasheet!H42/Datasheet!D42</f>
        <v>0.33763473558606055</v>
      </c>
      <c r="L42" s="116">
        <f>Datasheet!R42/Datasheet!Q42</f>
        <v>0.892018779342723</v>
      </c>
      <c r="M42" s="117">
        <f>(Datasheet!AB42-Datasheet!AA42)/Datasheet!AA42</f>
        <v>8.3714216983401493E-2</v>
      </c>
      <c r="N42" s="118">
        <f>Datasheet!AC42/Datasheet!E42</f>
        <v>1.7539221141755643E-2</v>
      </c>
      <c r="O42" s="111">
        <f>SUM(Datasheet!AD42:AG42)</f>
        <v>1565</v>
      </c>
      <c r="P42" s="111">
        <f>SUM(Datasheet!AH42:AK42)</f>
        <v>2245</v>
      </c>
      <c r="Q42" s="111">
        <f t="shared" si="0"/>
        <v>3810</v>
      </c>
      <c r="R42" s="118">
        <f>Q42/Datasheet!AC42</f>
        <v>0.66783523225241015</v>
      </c>
      <c r="S42" s="118">
        <f>Datasheet!AL42/Datasheet!G42</f>
        <v>8.6812386873376876E-3</v>
      </c>
      <c r="T42" s="118">
        <f>Datasheet!AM42/Datasheet!I42</f>
        <v>3.2305938881099387E-2</v>
      </c>
      <c r="U42" s="119">
        <f>O42/Datasheet!AL42</f>
        <v>0.88668555240793201</v>
      </c>
      <c r="V42" s="119">
        <f>P42/Datasheet!AM42</f>
        <v>0.56979695431472077</v>
      </c>
      <c r="W42" s="120">
        <f>((Datasheet!AP42-Datasheet!AO42)/Datasheet!AO42)*100</f>
        <v>9.5939575989502597</v>
      </c>
      <c r="X42" s="119">
        <f>Datasheet!AQ42/Datasheet!AR42</f>
        <v>0.48924528211720514</v>
      </c>
      <c r="Y42" s="111">
        <f>Datasheet!AV42+Datasheet!AS42</f>
        <v>99136</v>
      </c>
      <c r="Z42" s="117">
        <f>Datasheet!AW42/(Datasheet!AS42+Datasheet!AV42)</f>
        <v>0.59885409941897993</v>
      </c>
      <c r="AA42" s="111">
        <f>Datasheet!AX42+Datasheet!AT42</f>
        <v>108632</v>
      </c>
      <c r="AB42" s="119">
        <f>Datasheet!AY42/(Datasheet!AT42+Datasheet!AX42)</f>
        <v>0.58436740555269162</v>
      </c>
      <c r="AC42" s="119">
        <f>Datasheet!AU42/(Datasheet!AU42+Datasheet!AZ42)</f>
        <v>0.96978498074454433</v>
      </c>
      <c r="AD42" s="119">
        <f>Datasheet!AZ42/(Datasheet!AU42+Datasheet!AZ42)</f>
        <v>3.0215019255455711E-2</v>
      </c>
      <c r="AE42" s="117">
        <f>(Datasheet!BB42-Datasheet!BA42)/Datasheet!BA42</f>
        <v>0.12256600238971582</v>
      </c>
      <c r="AF42" s="118">
        <f>(Datasheet!AX42+Datasheet!AT42)/Datasheet!BB42</f>
        <v>0.58104407359863075</v>
      </c>
      <c r="AG42" s="111">
        <f>(Datasheet!AP42*1000)/Datasheet!E42</f>
        <v>736.93935210947177</v>
      </c>
      <c r="AH42" s="119">
        <f>Datasheet!BW42/SUM(Datasheet!$BW42:$BZ42)</f>
        <v>0.69437652811735939</v>
      </c>
      <c r="AI42" s="119">
        <f>Datasheet!BX42/SUM(Datasheet!$BW42:$BZ42)</f>
        <v>8.8019559902200492E-2</v>
      </c>
      <c r="AJ42" s="119">
        <f>Datasheet!BY42/SUM(Datasheet!$BW42:$BZ42)</f>
        <v>4.1564792176039117E-2</v>
      </c>
      <c r="AK42" s="119">
        <f>Datasheet!BZ42/SUM(Datasheet!$BW42:$BZ42)</f>
        <v>0.17603911980440098</v>
      </c>
      <c r="AL42" s="31">
        <f>Datasheet!BR42+Datasheet!BS42</f>
        <v>30</v>
      </c>
      <c r="AM42" s="31">
        <f>100-Datasheet!BV42</f>
        <v>22</v>
      </c>
      <c r="AN42" s="121">
        <f>(Datasheet!CL42-Datasheet!CK42)/Datasheet!CK42</f>
        <v>0.31398013750954928</v>
      </c>
    </row>
    <row r="43" spans="1:40">
      <c r="A43" s="42" t="s">
        <v>197</v>
      </c>
      <c r="B43" s="42" t="s">
        <v>198</v>
      </c>
      <c r="C43" s="42" t="s">
        <v>199</v>
      </c>
      <c r="D43" s="116">
        <f>Datasheet!G43/Datasheet!E43</f>
        <v>0.74246987378400497</v>
      </c>
      <c r="E43" s="116">
        <f>Datasheet!I43/Datasheet!E43</f>
        <v>0.25753012621599497</v>
      </c>
      <c r="F43" s="116">
        <f>(Datasheet!E43-Datasheet!D43)/Datasheet!D43</f>
        <v>5.5375626848399126E-2</v>
      </c>
      <c r="G43" s="116">
        <f>(Datasheet!G43-Datasheet!F43)/Datasheet!F43</f>
        <v>5.0169637567989658E-2</v>
      </c>
      <c r="H43" s="116">
        <f>(Datasheet!I43-Datasheet!H43)/Datasheet!H43</f>
        <v>7.0677810491657958E-2</v>
      </c>
      <c r="I43" s="116">
        <f>(Datasheet!K43-Datasheet!J43)/Datasheet!J43</f>
        <v>0.22872755659640906</v>
      </c>
      <c r="J43" s="116">
        <f>Datasheet!F43/Datasheet!D43</f>
        <v>0.74615050790793369</v>
      </c>
      <c r="K43" s="116">
        <f>Datasheet!H43/Datasheet!D43</f>
        <v>0.25384949209206636</v>
      </c>
      <c r="L43" s="116">
        <f>Datasheet!R43/Datasheet!Q43</f>
        <v>0.89252336448598135</v>
      </c>
      <c r="M43" s="117">
        <f>(Datasheet!AB43-Datasheet!AA43)/Datasheet!AA43</f>
        <v>4.7305635540929661E-2</v>
      </c>
      <c r="N43" s="118">
        <f>Datasheet!AC43/Datasheet!E43</f>
        <v>2.3244303146833178E-2</v>
      </c>
      <c r="O43" s="111">
        <f>SUM(Datasheet!AD43:AG43)</f>
        <v>1630</v>
      </c>
      <c r="P43" s="111">
        <f>SUM(Datasheet!AH43:AK43)</f>
        <v>2765</v>
      </c>
      <c r="Q43" s="111">
        <f t="shared" si="0"/>
        <v>4395</v>
      </c>
      <c r="R43" s="118">
        <f>Q43/Datasheet!AC43</f>
        <v>0.71990171990171992</v>
      </c>
      <c r="S43" s="118">
        <f>Datasheet!AL43/Datasheet!G43</f>
        <v>9.6920094766314874E-3</v>
      </c>
      <c r="T43" s="118">
        <f>Datasheet!AM43/Datasheet!I43</f>
        <v>6.2316119398571831E-2</v>
      </c>
      <c r="U43" s="119">
        <f>O43/Datasheet!AL43</f>
        <v>0.86243386243386244</v>
      </c>
      <c r="V43" s="119">
        <f>P43/Datasheet!AM43</f>
        <v>0.65599051008303677</v>
      </c>
      <c r="W43" s="120">
        <f>((Datasheet!AP43-Datasheet!AO43)/Datasheet!AO43)*100</f>
        <v>1.9347246944699965</v>
      </c>
      <c r="X43" s="119" t="e">
        <f>Datasheet!AQ43/Datasheet!AR43</f>
        <v>#VALUE!</v>
      </c>
      <c r="Y43" s="111">
        <f>Datasheet!AV43+Datasheet!AS43</f>
        <v>69752</v>
      </c>
      <c r="Z43" s="117">
        <f>Datasheet!AW43/(Datasheet!AS43+Datasheet!AV43)</f>
        <v>0.68379401307489396</v>
      </c>
      <c r="AA43" s="111">
        <f>Datasheet!AX43+Datasheet!AT43</f>
        <v>75647</v>
      </c>
      <c r="AB43" s="119">
        <f>Datasheet!AY43/(Datasheet!AT43+Datasheet!AX43)</f>
        <v>0.66420347138683622</v>
      </c>
      <c r="AC43" s="119">
        <f>Datasheet!AU43/(Datasheet!AU43+Datasheet!AZ43)</f>
        <v>0.94519204419252012</v>
      </c>
      <c r="AD43" s="119">
        <f>Datasheet!AZ43/(Datasheet!AU43+Datasheet!AZ43)</f>
        <v>5.4807955807479845E-2</v>
      </c>
      <c r="AE43" s="117">
        <f>(Datasheet!BB43-Datasheet!BA43)/Datasheet!BA43</f>
        <v>7.8693115519253204E-2</v>
      </c>
      <c r="AF43" s="118">
        <f>(Datasheet!AX43+Datasheet!AT43)/Datasheet!BB43</f>
        <v>0.54553387275900367</v>
      </c>
      <c r="AG43" s="111">
        <f>(Datasheet!AP43*1000)/Datasheet!E43</f>
        <v>649.74775838108474</v>
      </c>
      <c r="AH43" s="119">
        <f>Datasheet!BW43/SUM(Datasheet!$BW43:$BZ43)</f>
        <v>0.73529411764705888</v>
      </c>
      <c r="AI43" s="119">
        <f>Datasheet!BX43/SUM(Datasheet!$BW43:$BZ43)</f>
        <v>8.0882352941176475E-2</v>
      </c>
      <c r="AJ43" s="119">
        <f>Datasheet!BY43/SUM(Datasheet!$BW43:$BZ43)</f>
        <v>3.6764705882352942E-2</v>
      </c>
      <c r="AK43" s="119">
        <f>Datasheet!BZ43/SUM(Datasheet!$BW43:$BZ43)</f>
        <v>0.14705882352941177</v>
      </c>
      <c r="AL43" s="31">
        <f>Datasheet!BR43+Datasheet!BS43</f>
        <v>25</v>
      </c>
      <c r="AM43" s="31">
        <f>100-Datasheet!BV43</f>
        <v>34</v>
      </c>
      <c r="AN43" s="121">
        <f>(Datasheet!CL43-Datasheet!CK43)/Datasheet!CK43</f>
        <v>0.10540184453227931</v>
      </c>
    </row>
    <row r="44" spans="1:40">
      <c r="A44" s="42" t="s">
        <v>200</v>
      </c>
      <c r="B44" s="42" t="s">
        <v>201</v>
      </c>
      <c r="C44" s="42" t="s">
        <v>202</v>
      </c>
      <c r="D44" s="116">
        <f>Datasheet!G44/Datasheet!E44</f>
        <v>0.72645749079838229</v>
      </c>
      <c r="E44" s="116">
        <f>Datasheet!I44/Datasheet!E44</f>
        <v>0.27354250920161766</v>
      </c>
      <c r="F44" s="116">
        <f>(Datasheet!E44-Datasheet!D44)/Datasheet!D44</f>
        <v>6.0805811366775042E-2</v>
      </c>
      <c r="G44" s="116">
        <f>(Datasheet!G44-Datasheet!F44)/Datasheet!F44</f>
        <v>2.5251067759436686E-2</v>
      </c>
      <c r="H44" s="116">
        <f>(Datasheet!I44-Datasheet!H44)/Datasheet!H44</f>
        <v>0.16841512766514949</v>
      </c>
      <c r="I44" s="116">
        <f>(Datasheet!K44-Datasheet!J44)/Datasheet!J44</f>
        <v>0.22045051885598582</v>
      </c>
      <c r="J44" s="116">
        <f>Datasheet!F44/Datasheet!D44</f>
        <v>0.75165035393132507</v>
      </c>
      <c r="K44" s="116">
        <f>Datasheet!H44/Datasheet!D44</f>
        <v>0.24834964606867496</v>
      </c>
      <c r="L44" s="116">
        <f>Datasheet!R44/Datasheet!Q44</f>
        <v>0.85576923076923073</v>
      </c>
      <c r="M44" s="117">
        <f>(Datasheet!AB44-Datasheet!AA44)/Datasheet!AA44</f>
        <v>-4.8174911988141562E-3</v>
      </c>
      <c r="N44" s="118">
        <f>Datasheet!AC44/Datasheet!E44</f>
        <v>2.3038124233198527E-2</v>
      </c>
      <c r="O44" s="111">
        <f>SUM(Datasheet!AD44:AG44)</f>
        <v>2475</v>
      </c>
      <c r="P44" s="111">
        <f>SUM(Datasheet!AH44:AK44)</f>
        <v>4165</v>
      </c>
      <c r="Q44" s="111">
        <f t="shared" si="0"/>
        <v>6640</v>
      </c>
      <c r="R44" s="118">
        <f>Q44/Datasheet!AC44</f>
        <v>0.65483234714003946</v>
      </c>
      <c r="S44" s="118">
        <f>Datasheet!AL44/Datasheet!G44</f>
        <v>8.9915963758393468E-3</v>
      </c>
      <c r="T44" s="118">
        <f>Datasheet!AM44/Datasheet!I44</f>
        <v>6.0342035100542375E-2</v>
      </c>
      <c r="U44" s="119">
        <f>O44/Datasheet!AL44</f>
        <v>0.86086956521739133</v>
      </c>
      <c r="V44" s="119">
        <f>P44/Datasheet!AM44</f>
        <v>0.57329662766689604</v>
      </c>
      <c r="W44" s="120">
        <f>((Datasheet!AP44-Datasheet!AO44)/Datasheet!AO44)*100</f>
        <v>7.1051041372920274</v>
      </c>
      <c r="X44" s="119">
        <f>Datasheet!AQ44/Datasheet!AR44</f>
        <v>0.40274719251311186</v>
      </c>
      <c r="Y44" s="111">
        <f>Datasheet!AV44+Datasheet!AS44</f>
        <v>95193</v>
      </c>
      <c r="Z44" s="117">
        <f>Datasheet!AW44/(Datasheet!AS44+Datasheet!AV44)</f>
        <v>0.69507211664723245</v>
      </c>
      <c r="AA44" s="111">
        <f>Datasheet!AX44+Datasheet!AT44</f>
        <v>142214</v>
      </c>
      <c r="AB44" s="119">
        <f>Datasheet!AY44/(Datasheet!AT44+Datasheet!AX44)</f>
        <v>0.4856483890474918</v>
      </c>
      <c r="AC44" s="119">
        <f>Datasheet!AU44/(Datasheet!AU44+Datasheet!AZ44)</f>
        <v>0.97410344650948355</v>
      </c>
      <c r="AD44" s="119">
        <f>Datasheet!AZ44/(Datasheet!AU44+Datasheet!AZ44)</f>
        <v>2.5896553490516394E-2</v>
      </c>
      <c r="AE44" s="117">
        <f>(Datasheet!BB44-Datasheet!BA44)/Datasheet!BA44</f>
        <v>-4.1320780967397854E-3</v>
      </c>
      <c r="AF44" s="118">
        <f>(Datasheet!AX44+Datasheet!AT44)/Datasheet!BB44</f>
        <v>0.66226442332319702</v>
      </c>
      <c r="AG44" s="111">
        <f>(Datasheet!AP44*1000)/Datasheet!E44</f>
        <v>604.05098377788886</v>
      </c>
      <c r="AH44" s="119">
        <f>Datasheet!BW44/SUM(Datasheet!$BW44:$BZ44)</f>
        <v>0.73800738007380073</v>
      </c>
      <c r="AI44" s="119">
        <f>Datasheet!BX44/SUM(Datasheet!$BW44:$BZ44)</f>
        <v>6.273062730627306E-2</v>
      </c>
      <c r="AJ44" s="119">
        <f>Datasheet!BY44/SUM(Datasheet!$BW44:$BZ44)</f>
        <v>5.1660516605166053E-2</v>
      </c>
      <c r="AK44" s="119">
        <f>Datasheet!BZ44/SUM(Datasheet!$BW44:$BZ44)</f>
        <v>0.14760147601476015</v>
      </c>
      <c r="AL44" s="31">
        <f>Datasheet!BR44+Datasheet!BS44</f>
        <v>11</v>
      </c>
      <c r="AM44" s="31">
        <f>100-Datasheet!BV44</f>
        <v>14</v>
      </c>
      <c r="AN44" s="121">
        <f>(Datasheet!CL44-Datasheet!CK44)/Datasheet!CK44</f>
        <v>0.21955719557195572</v>
      </c>
    </row>
    <row r="45" spans="1:40">
      <c r="A45" s="42" t="s">
        <v>203</v>
      </c>
      <c r="B45" s="42" t="s">
        <v>204</v>
      </c>
      <c r="C45" s="42" t="s">
        <v>205</v>
      </c>
      <c r="D45" s="116">
        <f>Datasheet!G45/Datasheet!E45</f>
        <v>0.83723616643315457</v>
      </c>
      <c r="E45" s="116">
        <f>Datasheet!I45/Datasheet!E45</f>
        <v>0.1627638335668454</v>
      </c>
      <c r="F45" s="116">
        <f>(Datasheet!E45-Datasheet!D45)/Datasheet!D45</f>
        <v>0.11502410090630953</v>
      </c>
      <c r="G45" s="116">
        <f>(Datasheet!G45-Datasheet!F45)/Datasheet!F45</f>
        <v>9.028737569526378E-2</v>
      </c>
      <c r="H45" s="116">
        <f>(Datasheet!I45-Datasheet!H45)/Datasheet!H45</f>
        <v>0.26234691828950008</v>
      </c>
      <c r="I45" s="116">
        <f>(Datasheet!K45-Datasheet!J45)/Datasheet!J45</f>
        <v>0.27545031370167983</v>
      </c>
      <c r="J45" s="116">
        <f>Datasheet!F45/Datasheet!D45</f>
        <v>0.85623159960745832</v>
      </c>
      <c r="K45" s="116">
        <f>Datasheet!H45/Datasheet!D45</f>
        <v>0.14376840039254171</v>
      </c>
      <c r="L45" s="116">
        <f>Datasheet!R45/Datasheet!Q45</f>
        <v>0.88815789473684215</v>
      </c>
      <c r="M45" s="117">
        <f>(Datasheet!AB45-Datasheet!AA45)/Datasheet!AA45</f>
        <v>-5.1465798045602605E-2</v>
      </c>
      <c r="N45" s="118">
        <f>Datasheet!AC45/Datasheet!E45</f>
        <v>1.6340450867014616E-2</v>
      </c>
      <c r="O45" s="111">
        <f>SUM(Datasheet!AD45:AG45)</f>
        <v>1595</v>
      </c>
      <c r="P45" s="111">
        <f>SUM(Datasheet!AH45:AK45)</f>
        <v>2510</v>
      </c>
      <c r="Q45" s="111">
        <f t="shared" si="0"/>
        <v>4105</v>
      </c>
      <c r="R45" s="118">
        <f>Q45/Datasheet!AC45</f>
        <v>0.81287128712871282</v>
      </c>
      <c r="S45" s="118">
        <f>Datasheet!AL45/Datasheet!G45</f>
        <v>7.1111935597320932E-3</v>
      </c>
      <c r="T45" s="118">
        <f>Datasheet!AM45/Datasheet!I45</f>
        <v>6.381456005725418E-2</v>
      </c>
      <c r="U45" s="119">
        <f>O45/Datasheet!AL45</f>
        <v>0.86684782608695654</v>
      </c>
      <c r="V45" s="119">
        <f>P45/Datasheet!AM45</f>
        <v>0.7819314641744548</v>
      </c>
      <c r="W45" s="120">
        <f>((Datasheet!AP45-Datasheet!AO45)/Datasheet!AO45)*100</f>
        <v>8.2739692019116067</v>
      </c>
      <c r="X45" s="119">
        <f>Datasheet!AQ45/Datasheet!AR45</f>
        <v>0.40052880583350942</v>
      </c>
      <c r="Y45" s="111">
        <f>Datasheet!AV45+Datasheet!AS45</f>
        <v>59651</v>
      </c>
      <c r="Z45" s="117">
        <f>Datasheet!AW45/(Datasheet!AS45+Datasheet!AV45)</f>
        <v>0.60959581566109533</v>
      </c>
      <c r="AA45" s="111">
        <f>Datasheet!AX45+Datasheet!AT45</f>
        <v>71729</v>
      </c>
      <c r="AB45" s="119">
        <f>Datasheet!AY45/(Datasheet!AT45+Datasheet!AX45)</f>
        <v>0.67452494806842422</v>
      </c>
      <c r="AC45" s="119">
        <f>Datasheet!AU45/(Datasheet!AU45+Datasheet!AZ45)</f>
        <v>0.81885400456158552</v>
      </c>
      <c r="AD45" s="119">
        <f>Datasheet!AZ45/(Datasheet!AU45+Datasheet!AZ45)</f>
        <v>0.18114599543841448</v>
      </c>
      <c r="AE45" s="117">
        <f>(Datasheet!BB45-Datasheet!BA45)/Datasheet!BA45</f>
        <v>9.7834143872145785E-2</v>
      </c>
      <c r="AF45" s="118">
        <f>(Datasheet!AX45+Datasheet!AT45)/Datasheet!BB45</f>
        <v>0.59061005030918323</v>
      </c>
      <c r="AG45" s="111">
        <f>(Datasheet!AP45*1000)/Datasheet!E45</f>
        <v>508.03270678759679</v>
      </c>
      <c r="AH45" s="119">
        <f>Datasheet!BW45/SUM(Datasheet!$BW45:$BZ45)</f>
        <v>0.78014184397163122</v>
      </c>
      <c r="AI45" s="119">
        <f>Datasheet!BX45/SUM(Datasheet!$BW45:$BZ45)</f>
        <v>8.5106382978723402E-2</v>
      </c>
      <c r="AJ45" s="119">
        <f>Datasheet!BY45/SUM(Datasheet!$BW45:$BZ45)</f>
        <v>4.2553191489361701E-2</v>
      </c>
      <c r="AK45" s="119">
        <f>Datasheet!BZ45/SUM(Datasheet!$BW45:$BZ45)</f>
        <v>9.2198581560283682E-2</v>
      </c>
      <c r="AL45" s="31">
        <f>Datasheet!BR45+Datasheet!BS45</f>
        <v>65</v>
      </c>
      <c r="AM45" s="31">
        <f>100-Datasheet!BV45</f>
        <v>90</v>
      </c>
      <c r="AN45" s="121">
        <f>(Datasheet!CL45-Datasheet!CK45)/Datasheet!CK45</f>
        <v>0.14327485380116958</v>
      </c>
    </row>
    <row r="46" spans="1:40">
      <c r="A46" s="42" t="s">
        <v>206</v>
      </c>
      <c r="B46" s="42" t="s">
        <v>207</v>
      </c>
      <c r="C46" s="42" t="s">
        <v>208</v>
      </c>
      <c r="D46" s="116">
        <f>Datasheet!G46/Datasheet!E46</f>
        <v>0.66631815691007434</v>
      </c>
      <c r="E46" s="116">
        <f>Datasheet!I46/Datasheet!E46</f>
        <v>0.3336818430899256</v>
      </c>
      <c r="F46" s="116">
        <f>(Datasheet!E46-Datasheet!D46)/Datasheet!D46</f>
        <v>9.1300982129426833E-2</v>
      </c>
      <c r="G46" s="116">
        <f>(Datasheet!G46-Datasheet!F46)/Datasheet!F46</f>
        <v>4.2066246056782337E-2</v>
      </c>
      <c r="H46" s="116">
        <f>(Datasheet!I46-Datasheet!H46)/Datasheet!H46</f>
        <v>0.20498719209430502</v>
      </c>
      <c r="I46" s="116">
        <f>(Datasheet!K46-Datasheet!J46)/Datasheet!J46</f>
        <v>0.34078212290502791</v>
      </c>
      <c r="J46" s="116">
        <f>Datasheet!F46/Datasheet!D46</f>
        <v>0.69779983930792344</v>
      </c>
      <c r="K46" s="116">
        <f>Datasheet!H46/Datasheet!D46</f>
        <v>0.30220016069207656</v>
      </c>
      <c r="L46" s="116">
        <f>Datasheet!R46/Datasheet!Q46</f>
        <v>0.88165680473372776</v>
      </c>
      <c r="M46" s="117">
        <f>(Datasheet!AB46-Datasheet!AA46)/Datasheet!AA46</f>
        <v>0.14027059291683247</v>
      </c>
      <c r="N46" s="118">
        <f>Datasheet!AC46/Datasheet!E46</f>
        <v>2.5045636848351191E-2</v>
      </c>
      <c r="O46" s="111">
        <f>SUM(Datasheet!AD46:AG46)</f>
        <v>1330</v>
      </c>
      <c r="P46" s="111">
        <f>SUM(Datasheet!AH46:AK46)</f>
        <v>2570</v>
      </c>
      <c r="Q46" s="111">
        <f t="shared" si="0"/>
        <v>3900</v>
      </c>
      <c r="R46" s="118">
        <f>Q46/Datasheet!AC46</f>
        <v>0.52348993288590606</v>
      </c>
      <c r="S46" s="118">
        <f>Datasheet!AL46/Datasheet!G46</f>
        <v>9.3087320447424581E-3</v>
      </c>
      <c r="T46" s="118">
        <f>Datasheet!AM46/Datasheet!I46</f>
        <v>5.6470137825421131E-2</v>
      </c>
      <c r="U46" s="119">
        <f>O46/Datasheet!AL46</f>
        <v>0.72086720867208676</v>
      </c>
      <c r="V46" s="119">
        <f>P46/Datasheet!AM46</f>
        <v>0.45851917930419267</v>
      </c>
      <c r="W46" s="120">
        <f>((Datasheet!AP46-Datasheet!AO46)/Datasheet!AO46)*100</f>
        <v>17.751398613701134</v>
      </c>
      <c r="X46" s="119">
        <f>Datasheet!AQ46/Datasheet!AR46</f>
        <v>0.50921050104137799</v>
      </c>
      <c r="Y46" s="111">
        <f>Datasheet!AV46+Datasheet!AS46</f>
        <v>87372</v>
      </c>
      <c r="Z46" s="117">
        <f>Datasheet!AW46/(Datasheet!AS46+Datasheet!AV46)</f>
        <v>0.61266767385432408</v>
      </c>
      <c r="AA46" s="111">
        <f>Datasheet!AX46+Datasheet!AT46</f>
        <v>140750</v>
      </c>
      <c r="AB46" s="119">
        <f>Datasheet!AY46/(Datasheet!AT46+Datasheet!AX46)</f>
        <v>0.23870692717584369</v>
      </c>
      <c r="AC46" s="119">
        <f>Datasheet!AU46/(Datasheet!AU46+Datasheet!AZ46)</f>
        <v>0.93741642566159777</v>
      </c>
      <c r="AD46" s="119">
        <f>Datasheet!AZ46/(Datasheet!AU46+Datasheet!AZ46)</f>
        <v>6.2583574338402212E-2</v>
      </c>
      <c r="AE46" s="117">
        <f>(Datasheet!BB46-Datasheet!BA46)/Datasheet!BA46</f>
        <v>0.17576584866452569</v>
      </c>
      <c r="AF46" s="118">
        <f>(Datasheet!AX46+Datasheet!AT46)/Datasheet!BB46</f>
        <v>0.72949383752630326</v>
      </c>
      <c r="AG46" s="111">
        <f>(Datasheet!AP46*1000)/Datasheet!E46</f>
        <v>900.05950439895514</v>
      </c>
      <c r="AH46" s="119">
        <f>Datasheet!BW46/SUM(Datasheet!$BW46:$BZ46)</f>
        <v>0.70646766169154229</v>
      </c>
      <c r="AI46" s="119">
        <f>Datasheet!BX46/SUM(Datasheet!$BW46:$BZ46)</f>
        <v>8.45771144278607E-2</v>
      </c>
      <c r="AJ46" s="119">
        <f>Datasheet!BY46/SUM(Datasheet!$BW46:$BZ46)</f>
        <v>2.9850746268656716E-2</v>
      </c>
      <c r="AK46" s="119">
        <f>Datasheet!BZ46/SUM(Datasheet!$BW46:$BZ46)</f>
        <v>0.17910447761194029</v>
      </c>
      <c r="AL46" s="31">
        <f>Datasheet!BR46+Datasheet!BS46</f>
        <v>20</v>
      </c>
      <c r="AM46" s="31">
        <f>100-Datasheet!BV46</f>
        <v>17</v>
      </c>
      <c r="AN46" s="121">
        <f>(Datasheet!CL46-Datasheet!CK46)/Datasheet!CK46</f>
        <v>9.3704245973645683E-2</v>
      </c>
    </row>
    <row r="47" spans="1:40">
      <c r="A47" s="42" t="s">
        <v>209</v>
      </c>
      <c r="B47" s="42" t="s">
        <v>210</v>
      </c>
      <c r="C47" s="42" t="s">
        <v>211</v>
      </c>
      <c r="D47" s="116">
        <f>Datasheet!G47/Datasheet!E47</f>
        <v>0.66834410494042229</v>
      </c>
      <c r="E47" s="116">
        <f>Datasheet!I47/Datasheet!E47</f>
        <v>0.33165589505957771</v>
      </c>
      <c r="F47" s="116">
        <f>(Datasheet!E47-Datasheet!D47)/Datasheet!D47</f>
        <v>5.2994588645326975E-2</v>
      </c>
      <c r="G47" s="116">
        <f>(Datasheet!G47-Datasheet!F47)/Datasheet!F47</f>
        <v>1.7382599500797201E-2</v>
      </c>
      <c r="H47" s="116">
        <f>(Datasheet!I47-Datasheet!H47)/Datasheet!H47</f>
        <v>0.13290786155803003</v>
      </c>
      <c r="I47" s="116">
        <f>(Datasheet!K47-Datasheet!J47)/Datasheet!J47</f>
        <v>7.2298362064848867E-2</v>
      </c>
      <c r="J47" s="116">
        <f>Datasheet!F47/Datasheet!D47</f>
        <v>0.69173851233605432</v>
      </c>
      <c r="K47" s="116">
        <f>Datasheet!H47/Datasheet!D47</f>
        <v>0.30826148766394568</v>
      </c>
      <c r="L47" s="116">
        <f>Datasheet!R47/Datasheet!Q47</f>
        <v>0.87869822485207105</v>
      </c>
      <c r="M47" s="117">
        <f>(Datasheet!AB47-Datasheet!AA47)/Datasheet!AA47</f>
        <v>0.10846754514397267</v>
      </c>
      <c r="N47" s="118">
        <f>Datasheet!AC47/Datasheet!E47</f>
        <v>2.406191206187722E-2</v>
      </c>
      <c r="O47" s="111">
        <f>SUM(Datasheet!AD47:AG47)</f>
        <v>2955</v>
      </c>
      <c r="P47" s="111">
        <f>SUM(Datasheet!AH47:AK47)</f>
        <v>4335</v>
      </c>
      <c r="Q47" s="111">
        <f t="shared" si="0"/>
        <v>7290</v>
      </c>
      <c r="R47" s="118">
        <f>Q47/Datasheet!AC47</f>
        <v>0.6597285067873303</v>
      </c>
      <c r="S47" s="118">
        <f>Datasheet!AL47/Datasheet!G47</f>
        <v>1.2038771686894193E-2</v>
      </c>
      <c r="T47" s="118">
        <f>Datasheet!AM47/Datasheet!I47</f>
        <v>4.8290623543238327E-2</v>
      </c>
      <c r="U47" s="119">
        <f>O47/Datasheet!AL47</f>
        <v>0.79972936400541272</v>
      </c>
      <c r="V47" s="119">
        <f>P47/Datasheet!AM47</f>
        <v>0.58939496940856562</v>
      </c>
      <c r="W47" s="120">
        <f>((Datasheet!AP47-Datasheet!AO47)/Datasheet!AO47)*100</f>
        <v>6.9260846263309483</v>
      </c>
      <c r="X47" s="119">
        <f>Datasheet!AQ47/Datasheet!AR47</f>
        <v>0.63025785874278739</v>
      </c>
      <c r="Y47" s="111">
        <f>Datasheet!AV47+Datasheet!AS47</f>
        <v>156809</v>
      </c>
      <c r="Z47" s="117">
        <f>Datasheet!AW47/(Datasheet!AS47+Datasheet!AV47)</f>
        <v>0.58663086940162879</v>
      </c>
      <c r="AA47" s="111">
        <f>Datasheet!AX47+Datasheet!AT47</f>
        <v>179884</v>
      </c>
      <c r="AB47" s="119">
        <f>Datasheet!AY47/(Datasheet!AT47+Datasheet!AX47)</f>
        <v>0.51787818816570674</v>
      </c>
      <c r="AC47" s="119">
        <f>Datasheet!AU47/(Datasheet!AU47+Datasheet!AZ47)</f>
        <v>0.91746159934101079</v>
      </c>
      <c r="AD47" s="119">
        <f>Datasheet!AZ47/(Datasheet!AU47+Datasheet!AZ47)</f>
        <v>8.2538400658989222E-2</v>
      </c>
      <c r="AE47" s="117">
        <f>(Datasheet!BB47-Datasheet!BA47)/Datasheet!BA47</f>
        <v>0.16176040110785028</v>
      </c>
      <c r="AF47" s="118">
        <f>(Datasheet!AX47+Datasheet!AT47)/Datasheet!BB47</f>
        <v>0.58108636312244599</v>
      </c>
      <c r="AG47" s="111">
        <f>(Datasheet!AP47*1000)/Datasheet!E47</f>
        <v>881.91807191136502</v>
      </c>
      <c r="AH47" s="119">
        <f>Datasheet!BW47/SUM(Datasheet!$BW47:$BZ47)</f>
        <v>0.68047337278106512</v>
      </c>
      <c r="AI47" s="119">
        <f>Datasheet!BX47/SUM(Datasheet!$BW47:$BZ47)</f>
        <v>8.8757396449704137E-2</v>
      </c>
      <c r="AJ47" s="119">
        <f>Datasheet!BY47/SUM(Datasheet!$BW47:$BZ47)</f>
        <v>4.7337278106508875E-2</v>
      </c>
      <c r="AK47" s="119">
        <f>Datasheet!BZ47/SUM(Datasheet!$BW47:$BZ47)</f>
        <v>0.18343195266272189</v>
      </c>
      <c r="AL47" s="31">
        <f>Datasheet!BR47+Datasheet!BS47</f>
        <v>27</v>
      </c>
      <c r="AM47" s="31">
        <f>100-Datasheet!BV47</f>
        <v>19</v>
      </c>
      <c r="AN47" s="121">
        <f>(Datasheet!CL47-Datasheet!CK47)/Datasheet!CK47</f>
        <v>0.10603448275862069</v>
      </c>
    </row>
    <row r="48" spans="1:40">
      <c r="A48" s="42" t="s">
        <v>212</v>
      </c>
      <c r="B48" s="42" t="s">
        <v>213</v>
      </c>
      <c r="C48" s="42" t="s">
        <v>214</v>
      </c>
      <c r="D48" s="116">
        <f>Datasheet!G48/Datasheet!E48</f>
        <v>0.80262797591881929</v>
      </c>
      <c r="E48" s="116">
        <f>Datasheet!I48/Datasheet!E48</f>
        <v>0.19737202408118074</v>
      </c>
      <c r="F48" s="116">
        <f>(Datasheet!E48-Datasheet!D48)/Datasheet!D48</f>
        <v>1.9971908179415254E-2</v>
      </c>
      <c r="G48" s="116">
        <f>(Datasheet!G48-Datasheet!F48)/Datasheet!F48</f>
        <v>-1.4073727417200465E-2</v>
      </c>
      <c r="H48" s="116">
        <f>(Datasheet!I48-Datasheet!H48)/Datasheet!H48</f>
        <v>0.18660081597595018</v>
      </c>
      <c r="I48" s="116">
        <f>(Datasheet!K48-Datasheet!J48)/Datasheet!J48</f>
        <v>0.30524642289348169</v>
      </c>
      <c r="J48" s="116">
        <f>Datasheet!F48/Datasheet!D48</f>
        <v>0.83034402360684401</v>
      </c>
      <c r="K48" s="116">
        <f>Datasheet!H48/Datasheet!D48</f>
        <v>0.16965597639315597</v>
      </c>
      <c r="L48" s="116">
        <f>Datasheet!R48/Datasheet!Q48</f>
        <v>0.9</v>
      </c>
      <c r="M48" s="117">
        <f>(Datasheet!AB48-Datasheet!AA48)/Datasheet!AA48</f>
        <v>1.4917951268025858E-3</v>
      </c>
      <c r="N48" s="118">
        <f>Datasheet!AC48/Datasheet!E48</f>
        <v>2.09142752826602E-2</v>
      </c>
      <c r="O48" s="111">
        <f>SUM(Datasheet!AD48:AG48)</f>
        <v>1950</v>
      </c>
      <c r="P48" s="111">
        <f>SUM(Datasheet!AH48:AK48)</f>
        <v>2155</v>
      </c>
      <c r="Q48" s="111">
        <f t="shared" si="0"/>
        <v>4105</v>
      </c>
      <c r="R48" s="118">
        <f>Q48/Datasheet!AC48</f>
        <v>0.77893738140417457</v>
      </c>
      <c r="S48" s="118">
        <f>Datasheet!AL48/Datasheet!G48</f>
        <v>1.0630565595534174E-2</v>
      </c>
      <c r="T48" s="118">
        <f>Datasheet!AM48/Datasheet!I48</f>
        <v>6.2733743515502469E-2</v>
      </c>
      <c r="U48" s="119">
        <f>O48/Datasheet!AL48</f>
        <v>0.90697674418604646</v>
      </c>
      <c r="V48" s="119">
        <f>P48/Datasheet!AM48</f>
        <v>0.69070512820512819</v>
      </c>
      <c r="W48" s="120">
        <f>((Datasheet!AP48-Datasheet!AO48)/Datasheet!AO48)*100</f>
        <v>-3.60189203432728</v>
      </c>
      <c r="X48" s="119">
        <f>Datasheet!AQ48/Datasheet!AR48</f>
        <v>0.52350824524609485</v>
      </c>
      <c r="Y48" s="111">
        <f>Datasheet!AV48+Datasheet!AS48</f>
        <v>58313</v>
      </c>
      <c r="Z48" s="117">
        <f>Datasheet!AW48/(Datasheet!AS48+Datasheet!AV48)</f>
        <v>0.57282252670931011</v>
      </c>
      <c r="AA48" s="111">
        <f>Datasheet!AX48+Datasheet!AT48</f>
        <v>61747</v>
      </c>
      <c r="AB48" s="119">
        <f>Datasheet!AY48/(Datasheet!AT48+Datasheet!AX48)</f>
        <v>0.99580546423308014</v>
      </c>
      <c r="AC48" s="119">
        <f>Datasheet!AU48/(Datasheet!AU48+Datasheet!AZ48)</f>
        <v>0.95303210463733645</v>
      </c>
      <c r="AD48" s="119">
        <f>Datasheet!AZ48/(Datasheet!AU48+Datasheet!AZ48)</f>
        <v>4.6967895362663499E-2</v>
      </c>
      <c r="AE48" s="117">
        <f>(Datasheet!BB48-Datasheet!BA48)/Datasheet!BA48</f>
        <v>8.3719244553618163E-2</v>
      </c>
      <c r="AF48" s="118">
        <f>(Datasheet!AX48+Datasheet!AT48)/Datasheet!BB48</f>
        <v>0.4588807966706302</v>
      </c>
      <c r="AG48" s="111">
        <f>(Datasheet!AP48*1000)/Datasheet!E48</f>
        <v>587.98480837840953</v>
      </c>
      <c r="AH48" s="119">
        <f>Datasheet!BW48/SUM(Datasheet!$BW48:$BZ48)</f>
        <v>0.77628032345013476</v>
      </c>
      <c r="AI48" s="119">
        <f>Datasheet!BX48/SUM(Datasheet!$BW48:$BZ48)</f>
        <v>8.0862533692722366E-2</v>
      </c>
      <c r="AJ48" s="119">
        <f>Datasheet!BY48/SUM(Datasheet!$BW48:$BZ48)</f>
        <v>3.5040431266846361E-2</v>
      </c>
      <c r="AK48" s="119">
        <f>Datasheet!BZ48/SUM(Datasheet!$BW48:$BZ48)</f>
        <v>0.1078167115902965</v>
      </c>
      <c r="AL48" s="31">
        <f>Datasheet!BR48+Datasheet!BS48</f>
        <v>60</v>
      </c>
      <c r="AM48" s="31">
        <f>100-Datasheet!BV48</f>
        <v>78</v>
      </c>
      <c r="AN48" s="121">
        <f>(Datasheet!CL48-Datasheet!CK48)/Datasheet!CK48</f>
        <v>-2.1929824561403508E-2</v>
      </c>
    </row>
    <row r="49" spans="1:40">
      <c r="A49" s="42" t="s">
        <v>215</v>
      </c>
      <c r="B49" s="42" t="s">
        <v>216</v>
      </c>
      <c r="C49" s="42" t="s">
        <v>217</v>
      </c>
      <c r="D49" s="116">
        <f>Datasheet!G49/Datasheet!E49</f>
        <v>0.73298695548953807</v>
      </c>
      <c r="E49" s="116">
        <f>Datasheet!I49/Datasheet!E49</f>
        <v>0.26701304451046193</v>
      </c>
      <c r="F49" s="116">
        <f>(Datasheet!E49-Datasheet!D49)/Datasheet!D49</f>
        <v>8.8114165727765495E-2</v>
      </c>
      <c r="G49" s="116">
        <f>(Datasheet!G49-Datasheet!F49)/Datasheet!F49</f>
        <v>6.9613712306080766E-2</v>
      </c>
      <c r="H49" s="116">
        <f>(Datasheet!I49-Datasheet!H49)/Datasheet!H49</f>
        <v>0.14235420069451116</v>
      </c>
      <c r="I49" s="116">
        <f>(Datasheet!K49-Datasheet!J49)/Datasheet!J49</f>
        <v>0.20863272296479435</v>
      </c>
      <c r="J49" s="116">
        <f>Datasheet!F49/Datasheet!D49</f>
        <v>0.74566498202633347</v>
      </c>
      <c r="K49" s="116">
        <f>Datasheet!H49/Datasheet!D49</f>
        <v>0.25433501797366653</v>
      </c>
      <c r="L49" s="116">
        <f>Datasheet!R49/Datasheet!Q49</f>
        <v>0.88433734939759034</v>
      </c>
      <c r="M49" s="117">
        <f>(Datasheet!AB49-Datasheet!AA49)/Datasheet!AA49</f>
        <v>3.7981551817688551E-2</v>
      </c>
      <c r="N49" s="118">
        <f>Datasheet!AC49/Datasheet!E49</f>
        <v>1.7360331342115225E-2</v>
      </c>
      <c r="O49" s="111">
        <f>SUM(Datasheet!AD49:AG49)</f>
        <v>6520</v>
      </c>
      <c r="P49" s="111">
        <f>SUM(Datasheet!AH49:AK49)</f>
        <v>9080</v>
      </c>
      <c r="Q49" s="111">
        <f t="shared" si="0"/>
        <v>15600</v>
      </c>
      <c r="R49" s="118">
        <f>Q49/Datasheet!AC49</f>
        <v>0.72072072072072069</v>
      </c>
      <c r="S49" s="118">
        <f>Datasheet!AL49/Datasheet!G49</f>
        <v>8.3160629132043758E-3</v>
      </c>
      <c r="T49" s="118">
        <f>Datasheet!AM49/Datasheet!I49</f>
        <v>4.2188072595324921E-2</v>
      </c>
      <c r="U49" s="119">
        <f>O49/Datasheet!AL49</f>
        <v>0.85789473684210527</v>
      </c>
      <c r="V49" s="119">
        <f>P49/Datasheet!AM49</f>
        <v>0.64649341402634386</v>
      </c>
      <c r="W49" s="120">
        <f>((Datasheet!AP49-Datasheet!AO49)/Datasheet!AO49)*100</f>
        <v>6.5169341780412875</v>
      </c>
      <c r="X49" s="119">
        <f>Datasheet!AQ49/Datasheet!AR49</f>
        <v>0.64036100552232933</v>
      </c>
      <c r="Y49" s="111">
        <f>Datasheet!AV49+Datasheet!AS49</f>
        <v>382432</v>
      </c>
      <c r="Z49" s="117">
        <f>Datasheet!AW49/(Datasheet!AS49+Datasheet!AV49)</f>
        <v>0.664465839678688</v>
      </c>
      <c r="AA49" s="111">
        <f>Datasheet!AX49+Datasheet!AT49</f>
        <v>359066</v>
      </c>
      <c r="AB49" s="119">
        <f>Datasheet!AY49/(Datasheet!AT49+Datasheet!AX49)</f>
        <v>0.57301721689048812</v>
      </c>
      <c r="AC49" s="119">
        <f>Datasheet!AU49/(Datasheet!AU49+Datasheet!AZ49)</f>
        <v>0.97807311625511206</v>
      </c>
      <c r="AD49" s="119">
        <f>Datasheet!AZ49/(Datasheet!AU49+Datasheet!AZ49)</f>
        <v>2.1926883744887944E-2</v>
      </c>
      <c r="AE49" s="117">
        <f>(Datasheet!BB49-Datasheet!BA49)/Datasheet!BA49</f>
        <v>0.11118439231062749</v>
      </c>
      <c r="AF49" s="118">
        <f>(Datasheet!AX49+Datasheet!AT49)/Datasheet!BB49</f>
        <v>0.53147012547198158</v>
      </c>
      <c r="AG49" s="111">
        <f>(Datasheet!AP49*1000)/Datasheet!E49</f>
        <v>693.80369712096808</v>
      </c>
      <c r="AH49" s="119">
        <f>Datasheet!BW49/SUM(Datasheet!$BW49:$BZ49)</f>
        <v>0.74712643678160917</v>
      </c>
      <c r="AI49" s="119">
        <f>Datasheet!BX49/SUM(Datasheet!$BW49:$BZ49)</f>
        <v>8.6206896551724144E-2</v>
      </c>
      <c r="AJ49" s="119">
        <f>Datasheet!BY49/SUM(Datasheet!$BW49:$BZ49)</f>
        <v>4.0229885057471264E-2</v>
      </c>
      <c r="AK49" s="119">
        <f>Datasheet!BZ49/SUM(Datasheet!$BW49:$BZ49)</f>
        <v>0.12643678160919541</v>
      </c>
      <c r="AL49" s="31">
        <f>Datasheet!BR49+Datasheet!BS49</f>
        <v>30</v>
      </c>
      <c r="AM49" s="31">
        <f>100-Datasheet!BV49</f>
        <v>32</v>
      </c>
      <c r="AN49" s="121">
        <f>(Datasheet!CL49-Datasheet!CK49)/Datasheet!CK49</f>
        <v>1.6552511415525113E-2</v>
      </c>
    </row>
    <row r="50" spans="1:40">
      <c r="A50" s="42" t="s">
        <v>218</v>
      </c>
      <c r="B50" s="42" t="s">
        <v>219</v>
      </c>
      <c r="C50" s="42" t="s">
        <v>220</v>
      </c>
      <c r="D50" s="116">
        <f>Datasheet!G50/Datasheet!E50</f>
        <v>0.74200429060554085</v>
      </c>
      <c r="E50" s="116">
        <f>Datasheet!I50/Datasheet!E50</f>
        <v>0.25799570939445909</v>
      </c>
      <c r="F50" s="116">
        <f>(Datasheet!E50-Datasheet!D50)/Datasheet!D50</f>
        <v>6.2659277036890421E-3</v>
      </c>
      <c r="G50" s="116">
        <f>(Datasheet!G50-Datasheet!F50)/Datasheet!F50</f>
        <v>-2.2163537093141939E-2</v>
      </c>
      <c r="H50" s="116">
        <f>(Datasheet!I50-Datasheet!H50)/Datasheet!H50</f>
        <v>9.808487258646853E-2</v>
      </c>
      <c r="I50" s="116">
        <f>(Datasheet!K50-Datasheet!J50)/Datasheet!J50</f>
        <v>0.22933391191147753</v>
      </c>
      <c r="J50" s="116">
        <f>Datasheet!F50/Datasheet!D50</f>
        <v>0.76357720761065884</v>
      </c>
      <c r="K50" s="116">
        <f>Datasheet!H50/Datasheet!D50</f>
        <v>0.23642279238934111</v>
      </c>
      <c r="L50" s="116">
        <f>Datasheet!R50/Datasheet!Q50</f>
        <v>0.80582524271844658</v>
      </c>
      <c r="M50" s="117">
        <f>(Datasheet!AB50-Datasheet!AA50)/Datasheet!AA50</f>
        <v>0</v>
      </c>
      <c r="N50" s="118">
        <f>Datasheet!AC50/Datasheet!E50</f>
        <v>2.314345252365058E-2</v>
      </c>
      <c r="O50" s="111">
        <f>SUM(Datasheet!AD50:AG50)</f>
        <v>840</v>
      </c>
      <c r="P50" s="111">
        <f>SUM(Datasheet!AH50:AK50)</f>
        <v>1525</v>
      </c>
      <c r="Q50" s="111">
        <f t="shared" si="0"/>
        <v>2365</v>
      </c>
      <c r="R50" s="118">
        <f>Q50/Datasheet!AC50</f>
        <v>0.62815405046480743</v>
      </c>
      <c r="S50" s="118">
        <f>Datasheet!AL50/Datasheet!G50</f>
        <v>7.9943666639052269E-3</v>
      </c>
      <c r="T50" s="118">
        <f>Datasheet!AM50/Datasheet!I50</f>
        <v>6.6712730218484187E-2</v>
      </c>
      <c r="U50" s="119">
        <f>O50/Datasheet!AL50</f>
        <v>0.8704663212435233</v>
      </c>
      <c r="V50" s="119">
        <f>P50/Datasheet!AM50</f>
        <v>0.5446428571428571</v>
      </c>
      <c r="W50" s="120">
        <f>((Datasheet!AP50-Datasheet!AO50)/Datasheet!AO50)*100</f>
        <v>11.511778247295892</v>
      </c>
      <c r="X50" s="119">
        <f>Datasheet!AQ50/Datasheet!AR50</f>
        <v>0.54245315841478514</v>
      </c>
      <c r="Y50" s="111">
        <f>Datasheet!AV50+Datasheet!AS50</f>
        <v>36342</v>
      </c>
      <c r="Z50" s="117">
        <f>Datasheet!AW50/(Datasheet!AS50+Datasheet!AV50)</f>
        <v>0.5614440592152331</v>
      </c>
      <c r="AA50" s="111">
        <f>Datasheet!AX50+Datasheet!AT50</f>
        <v>76950</v>
      </c>
      <c r="AB50" s="119">
        <f>Datasheet!AY50/(Datasheet!AT50+Datasheet!AX50)</f>
        <v>0.52886289798570496</v>
      </c>
      <c r="AC50" s="119">
        <f>Datasheet!AU50/(Datasheet!AU50+Datasheet!AZ50)</f>
        <v>0.95095051801757524</v>
      </c>
      <c r="AD50" s="119">
        <f>Datasheet!AZ50/(Datasheet!AU50+Datasheet!AZ50)</f>
        <v>4.9049481982424752E-2</v>
      </c>
      <c r="AE50" s="117">
        <f>(Datasheet!BB50-Datasheet!BA50)/Datasheet!BA50</f>
        <v>0.10515566949833793</v>
      </c>
      <c r="AF50" s="118">
        <f>(Datasheet!AX50+Datasheet!AT50)/Datasheet!BB50</f>
        <v>0.75638429630212123</v>
      </c>
      <c r="AG50" s="111">
        <f>(Datasheet!AP50*1000)/Datasheet!E50</f>
        <v>869.46846896687384</v>
      </c>
      <c r="AH50" s="119">
        <f>Datasheet!BW50/SUM(Datasheet!$BW50:$BZ50)</f>
        <v>0.71615720524017468</v>
      </c>
      <c r="AI50" s="119">
        <f>Datasheet!BX50/SUM(Datasheet!$BW50:$BZ50)</f>
        <v>7.4235807860262015E-2</v>
      </c>
      <c r="AJ50" s="119">
        <f>Datasheet!BY50/SUM(Datasheet!$BW50:$BZ50)</f>
        <v>4.3668122270742356E-2</v>
      </c>
      <c r="AK50" s="119">
        <f>Datasheet!BZ50/SUM(Datasheet!$BW50:$BZ50)</f>
        <v>0.16593886462882096</v>
      </c>
      <c r="AL50" s="31">
        <f>Datasheet!BR50+Datasheet!BS50</f>
        <v>21</v>
      </c>
      <c r="AM50" s="31">
        <f>100-Datasheet!BV50</f>
        <v>18</v>
      </c>
      <c r="AN50" s="121">
        <f>(Datasheet!CL50-Datasheet!CK50)/Datasheet!CK50</f>
        <v>-8.3743842364532015E-2</v>
      </c>
    </row>
    <row r="51" spans="1:40">
      <c r="A51" s="42" t="s">
        <v>221</v>
      </c>
      <c r="B51" s="42" t="s">
        <v>222</v>
      </c>
      <c r="C51" s="42" t="s">
        <v>223</v>
      </c>
      <c r="D51" s="116">
        <f>Datasheet!G51/Datasheet!E51</f>
        <v>0.71906896315509816</v>
      </c>
      <c r="E51" s="116">
        <f>Datasheet!I51/Datasheet!E51</f>
        <v>0.28093103684490189</v>
      </c>
      <c r="F51" s="116">
        <f>(Datasheet!E51-Datasheet!D51)/Datasheet!D51</f>
        <v>9.4237984489842219E-2</v>
      </c>
      <c r="G51" s="116">
        <f>(Datasheet!G51-Datasheet!F51)/Datasheet!F51</f>
        <v>5.8395851330250353E-2</v>
      </c>
      <c r="H51" s="116">
        <f>(Datasheet!I51-Datasheet!H51)/Datasheet!H51</f>
        <v>0.19808765821035759</v>
      </c>
      <c r="I51" s="116">
        <f>(Datasheet!K51-Datasheet!J51)/Datasheet!J51</f>
        <v>0.1961096576043681</v>
      </c>
      <c r="J51" s="116">
        <f>Datasheet!F51/Datasheet!D51</f>
        <v>0.74341993306483634</v>
      </c>
      <c r="K51" s="116">
        <f>Datasheet!H51/Datasheet!D51</f>
        <v>0.25658006693516366</v>
      </c>
      <c r="L51" s="116">
        <f>Datasheet!R51/Datasheet!Q51</f>
        <v>0.85616438356164382</v>
      </c>
      <c r="M51" s="117">
        <f>(Datasheet!AB51-Datasheet!AA51)/Datasheet!AA51</f>
        <v>3.5396745512497906E-2</v>
      </c>
      <c r="N51" s="118">
        <f>Datasheet!AC51/Datasheet!E51</f>
        <v>1.5709210207191245E-2</v>
      </c>
      <c r="O51" s="111">
        <f>SUM(Datasheet!AD51:AG51)</f>
        <v>1980</v>
      </c>
      <c r="P51" s="111">
        <f>SUM(Datasheet!AH51:AK51)</f>
        <v>3630</v>
      </c>
      <c r="Q51" s="111">
        <f t="shared" si="0"/>
        <v>5610</v>
      </c>
      <c r="R51" s="118">
        <f>Q51/Datasheet!AC51</f>
        <v>0.66116676487919857</v>
      </c>
      <c r="S51" s="118">
        <f>Datasheet!AL51/Datasheet!G51</f>
        <v>6.3724606709750506E-3</v>
      </c>
      <c r="T51" s="118">
        <f>Datasheet!AM51/Datasheet!I51</f>
        <v>3.9607483903281289E-2</v>
      </c>
      <c r="U51" s="119">
        <f>O51/Datasheet!AL51</f>
        <v>0.8</v>
      </c>
      <c r="V51" s="119">
        <f>P51/Datasheet!AM51</f>
        <v>0.60399334442595676</v>
      </c>
      <c r="W51" s="120">
        <f>((Datasheet!AP51-Datasheet!AO51)/Datasheet!AO51)*100</f>
        <v>7.0574773287105721</v>
      </c>
      <c r="X51" s="119">
        <f>Datasheet!AQ51/Datasheet!AR51</f>
        <v>0.50208302000300797</v>
      </c>
      <c r="Y51" s="111">
        <f>Datasheet!AV51+Datasheet!AS51</f>
        <v>120601</v>
      </c>
      <c r="Z51" s="117">
        <f>Datasheet!AW51/(Datasheet!AS51+Datasheet!AV51)</f>
        <v>0.54102370627109231</v>
      </c>
      <c r="AA51" s="111">
        <f>Datasheet!AX51+Datasheet!AT51</f>
        <v>135898</v>
      </c>
      <c r="AB51" s="119">
        <f>Datasheet!AY51/(Datasheet!AT51+Datasheet!AX51)</f>
        <v>0.81154983884972554</v>
      </c>
      <c r="AC51" s="119">
        <f>Datasheet!AU51/(Datasheet!AU51+Datasheet!AZ51)</f>
        <v>0.98383579376105335</v>
      </c>
      <c r="AD51" s="119">
        <f>Datasheet!AZ51/(Datasheet!AU51+Datasheet!AZ51)</f>
        <v>1.6164206238946627E-2</v>
      </c>
      <c r="AE51" s="117">
        <f>(Datasheet!BB51-Datasheet!BA51)/Datasheet!BA51</f>
        <v>0.1242827612417616</v>
      </c>
      <c r="AF51" s="118">
        <f>(Datasheet!AX51+Datasheet!AT51)/Datasheet!BB51</f>
        <v>0.56023547550634245</v>
      </c>
      <c r="AG51" s="111">
        <f>(Datasheet!AP51*1000)/Datasheet!E51</f>
        <v>578.54512533117088</v>
      </c>
      <c r="AH51" s="119">
        <f>Datasheet!BW51/SUM(Datasheet!$BW51:$BZ51)</f>
        <v>0.7407407407407407</v>
      </c>
      <c r="AI51" s="119">
        <f>Datasheet!BX51/SUM(Datasheet!$BW51:$BZ51)</f>
        <v>8.3950617283950618E-2</v>
      </c>
      <c r="AJ51" s="119">
        <f>Datasheet!BY51/SUM(Datasheet!$BW51:$BZ51)</f>
        <v>3.7037037037037035E-2</v>
      </c>
      <c r="AK51" s="119">
        <f>Datasheet!BZ51/SUM(Datasheet!$BW51:$BZ51)</f>
        <v>0.13827160493827159</v>
      </c>
      <c r="AL51" s="31">
        <f>Datasheet!BR51+Datasheet!BS51</f>
        <v>31</v>
      </c>
      <c r="AM51" s="31">
        <f>100-Datasheet!BV51</f>
        <v>30</v>
      </c>
      <c r="AN51" s="121">
        <f>(Datasheet!CL51-Datasheet!CK51)/Datasheet!CK51</f>
        <v>-0.11948331539289558</v>
      </c>
    </row>
    <row r="52" spans="1:40">
      <c r="A52" s="42" t="s">
        <v>224</v>
      </c>
      <c r="B52" s="42" t="s">
        <v>225</v>
      </c>
      <c r="C52" s="42" t="s">
        <v>226</v>
      </c>
      <c r="D52" s="116">
        <f>Datasheet!G52/Datasheet!E52</f>
        <v>0.86008940081364782</v>
      </c>
      <c r="E52" s="116">
        <f>Datasheet!I52/Datasheet!E52</f>
        <v>0.13991059918635215</v>
      </c>
      <c r="F52" s="116">
        <f>(Datasheet!E52-Datasheet!D52)/Datasheet!D52</f>
        <v>0.14246094553174804</v>
      </c>
      <c r="G52" s="116">
        <f>(Datasheet!G52-Datasheet!F52)/Datasheet!F52</f>
        <v>0.1361593197286434</v>
      </c>
      <c r="H52" s="116">
        <f>(Datasheet!I52-Datasheet!H52)/Datasheet!H52</f>
        <v>0.18278961149246337</v>
      </c>
      <c r="I52" s="116">
        <f>(Datasheet!K52-Datasheet!J52)/Datasheet!J52</f>
        <v>-5.3995680345572358E-4</v>
      </c>
      <c r="J52" s="116">
        <f>Datasheet!F52/Datasheet!D52</f>
        <v>0.86485982470317646</v>
      </c>
      <c r="K52" s="116">
        <f>Datasheet!H52/Datasheet!D52</f>
        <v>0.13514017529682351</v>
      </c>
      <c r="L52" s="116">
        <f>Datasheet!R52/Datasheet!Q52</f>
        <v>0.88461538461538458</v>
      </c>
      <c r="M52" s="117">
        <f>(Datasheet!AB52-Datasheet!AA52)/Datasheet!AA52</f>
        <v>5.2246603970741903E-3</v>
      </c>
      <c r="N52" s="118">
        <f>Datasheet!AC52/Datasheet!E52</f>
        <v>2.2454839195727511E-2</v>
      </c>
      <c r="O52" s="111">
        <f>SUM(Datasheet!AD52:AG52)</f>
        <v>2180</v>
      </c>
      <c r="P52" s="111">
        <f>SUM(Datasheet!AH52:AK52)</f>
        <v>2320</v>
      </c>
      <c r="Q52" s="111">
        <f t="shared" si="0"/>
        <v>4500</v>
      </c>
      <c r="R52" s="118">
        <f>Q52/Datasheet!AC52</f>
        <v>0.83876980428704562</v>
      </c>
      <c r="S52" s="118">
        <f>Datasheet!AL52/Datasheet!G52</f>
        <v>1.1995367306419589E-2</v>
      </c>
      <c r="T52" s="118">
        <f>Datasheet!AM52/Datasheet!I52</f>
        <v>8.675361971999522E-2</v>
      </c>
      <c r="U52" s="119">
        <f>O52/Datasheet!AL52</f>
        <v>0.88438133874239355</v>
      </c>
      <c r="V52" s="119">
        <f>P52/Datasheet!AM52</f>
        <v>0.8</v>
      </c>
      <c r="W52" s="120">
        <f>((Datasheet!AP52-Datasheet!AO52)/Datasheet!AO52)*100</f>
        <v>7.5990675990675989</v>
      </c>
      <c r="X52" s="119">
        <f>Datasheet!AQ52/Datasheet!AR52</f>
        <v>0.40847404859680075</v>
      </c>
      <c r="Y52" s="111">
        <f>Datasheet!AV52+Datasheet!AS52</f>
        <v>68913</v>
      </c>
      <c r="Z52" s="117">
        <f>Datasheet!AW52/(Datasheet!AS52+Datasheet!AV52)</f>
        <v>0.56404451990190529</v>
      </c>
      <c r="AA52" s="111">
        <f>Datasheet!AX52+Datasheet!AT52</f>
        <v>59362</v>
      </c>
      <c r="AB52" s="119">
        <f>Datasheet!AY52/(Datasheet!AT52+Datasheet!AX52)</f>
        <v>0.53916647013240793</v>
      </c>
      <c r="AC52" s="119">
        <f>Datasheet!AU52/(Datasheet!AU52+Datasheet!AZ52)</f>
        <v>0.95793884578683153</v>
      </c>
      <c r="AD52" s="119">
        <f>Datasheet!AZ52/(Datasheet!AU52+Datasheet!AZ52)</f>
        <v>4.2061154213168486E-2</v>
      </c>
      <c r="AE52" s="117">
        <f>(Datasheet!BB52-Datasheet!BA52)/Datasheet!BA52</f>
        <v>0.15033646733164702</v>
      </c>
      <c r="AF52" s="118">
        <f>(Datasheet!AX52+Datasheet!AT52)/Datasheet!BB52</f>
        <v>0.49256938970252667</v>
      </c>
      <c r="AG52" s="111">
        <f>(Datasheet!AP52*1000)/Datasheet!E52</f>
        <v>647.21836232442115</v>
      </c>
      <c r="AH52" s="119">
        <f>Datasheet!BW52/SUM(Datasheet!$BW52:$BZ52)</f>
        <v>0.75862068965517238</v>
      </c>
      <c r="AI52" s="119">
        <f>Datasheet!BX52/SUM(Datasheet!$BW52:$BZ52)</f>
        <v>9.4827586206896547E-2</v>
      </c>
      <c r="AJ52" s="119">
        <f>Datasheet!BY52/SUM(Datasheet!$BW52:$BZ52)</f>
        <v>3.4482758620689655E-2</v>
      </c>
      <c r="AK52" s="119">
        <f>Datasheet!BZ52/SUM(Datasheet!$BW52:$BZ52)</f>
        <v>0.11206896551724138</v>
      </c>
      <c r="AL52" s="31">
        <f>Datasheet!BR52+Datasheet!BS52</f>
        <v>60</v>
      </c>
      <c r="AM52" s="31">
        <f>100-Datasheet!BV52</f>
        <v>88</v>
      </c>
      <c r="AN52" s="121">
        <f>(Datasheet!CL52-Datasheet!CK52)/Datasheet!CK52</f>
        <v>0.14163090128755365</v>
      </c>
    </row>
    <row r="53" spans="1:40">
      <c r="A53" s="42" t="s">
        <v>227</v>
      </c>
      <c r="B53" s="42" t="s">
        <v>228</v>
      </c>
      <c r="C53" s="42" t="s">
        <v>229</v>
      </c>
      <c r="D53" s="116">
        <f>Datasheet!G53/Datasheet!E53</f>
        <v>0.88927174085590754</v>
      </c>
      <c r="E53" s="116">
        <f>Datasheet!I53/Datasheet!E53</f>
        <v>0.11072825914409241</v>
      </c>
      <c r="F53" s="116">
        <f>(Datasheet!E53-Datasheet!D53)/Datasheet!D53</f>
        <v>5.669741970496818E-2</v>
      </c>
      <c r="G53" s="116">
        <f>(Datasheet!G53-Datasheet!F53)/Datasheet!F53</f>
        <v>3.4213884288545597E-2</v>
      </c>
      <c r="H53" s="116">
        <f>(Datasheet!I53-Datasheet!H53)/Datasheet!H53</f>
        <v>0.28021592442645077</v>
      </c>
      <c r="I53" s="116">
        <f>(Datasheet!K53-Datasheet!J53)/Datasheet!J53</f>
        <v>5.7169202397418163E-2</v>
      </c>
      <c r="J53" s="116">
        <f>Datasheet!F53/Datasheet!D53</f>
        <v>0.90860427253441212</v>
      </c>
      <c r="K53" s="116">
        <f>Datasheet!H53/Datasheet!D53</f>
        <v>9.1395727465587842E-2</v>
      </c>
      <c r="L53" s="116" t="e">
        <f>Datasheet!R53/Datasheet!Q53</f>
        <v>#VALUE!</v>
      </c>
      <c r="M53" s="117">
        <f>(Datasheet!AB53-Datasheet!AA53)/Datasheet!AA53</f>
        <v>0</v>
      </c>
      <c r="N53" s="118">
        <f>Datasheet!AC53/Datasheet!E53</f>
        <v>2.1733852517952023E-2</v>
      </c>
      <c r="O53" s="111">
        <f>SUM(Datasheet!AD53:AG53)</f>
        <v>1670</v>
      </c>
      <c r="P53" s="111">
        <f>SUM(Datasheet!AH53:AK53)</f>
        <v>2330</v>
      </c>
      <c r="Q53" s="111">
        <f t="shared" si="0"/>
        <v>4000</v>
      </c>
      <c r="R53" s="118">
        <f>Q53/Datasheet!AC53</f>
        <v>0.85929108485499461</v>
      </c>
      <c r="S53" s="118">
        <f>Datasheet!AL53/Datasheet!G53</f>
        <v>9.7392710510012283E-3</v>
      </c>
      <c r="T53" s="118">
        <f>Datasheet!AM53/Datasheet!I53</f>
        <v>0.1180637544273908</v>
      </c>
      <c r="U53" s="119">
        <f>O53/Datasheet!AL53</f>
        <v>0.90026954177897578</v>
      </c>
      <c r="V53" s="119">
        <f>P53/Datasheet!AM53</f>
        <v>0.83214285714285718</v>
      </c>
      <c r="W53" s="120">
        <f>((Datasheet!AP53-Datasheet!AO53)/Datasheet!AO53)*100</f>
        <v>7.7654212775282128</v>
      </c>
      <c r="X53" s="119">
        <f>Datasheet!AQ53/Datasheet!AR53</f>
        <v>0.45401780195326985</v>
      </c>
      <c r="Y53" s="111">
        <f>Datasheet!AV53+Datasheet!AS53</f>
        <v>65675</v>
      </c>
      <c r="Z53" s="117">
        <f>Datasheet!AW53/(Datasheet!AS53+Datasheet!AV53)</f>
        <v>0.56357822611343733</v>
      </c>
      <c r="AA53" s="111">
        <f>Datasheet!AX53+Datasheet!AT53</f>
        <v>67510</v>
      </c>
      <c r="AB53" s="119">
        <f>Datasheet!AY53/(Datasheet!AT53+Datasheet!AX53)</f>
        <v>0.59163086950081467</v>
      </c>
      <c r="AC53" s="119">
        <f>Datasheet!AU53/(Datasheet!AU53+Datasheet!AZ53)</f>
        <v>0.99515168534685683</v>
      </c>
      <c r="AD53" s="119">
        <f>Datasheet!AZ53/(Datasheet!AU53+Datasheet!AZ53)</f>
        <v>4.8483146531431449E-3</v>
      </c>
      <c r="AE53" s="117">
        <f>(Datasheet!BB53-Datasheet!BA53)/Datasheet!BA53</f>
        <v>0.11936724542815406</v>
      </c>
      <c r="AF53" s="118">
        <f>(Datasheet!AX53+Datasheet!AT53)/Datasheet!BB53</f>
        <v>0.55759748251055152</v>
      </c>
      <c r="AG53" s="111">
        <f>(Datasheet!AP53*1000)/Datasheet!E53</f>
        <v>734.75828967887128</v>
      </c>
      <c r="AH53" s="119">
        <f>Datasheet!BW53/SUM(Datasheet!$BW53:$BZ53)</f>
        <v>0.73362445414847166</v>
      </c>
      <c r="AI53" s="119">
        <f>Datasheet!BX53/SUM(Datasheet!$BW53:$BZ53)</f>
        <v>0.10480349344978165</v>
      </c>
      <c r="AJ53" s="119">
        <f>Datasheet!BY53/SUM(Datasheet!$BW53:$BZ53)</f>
        <v>3.0567685589519649E-2</v>
      </c>
      <c r="AK53" s="119">
        <f>Datasheet!BZ53/SUM(Datasheet!$BW53:$BZ53)</f>
        <v>0.13100436681222707</v>
      </c>
      <c r="AL53" s="31">
        <f>Datasheet!BR53+Datasheet!BS53</f>
        <v>36</v>
      </c>
      <c r="AM53" s="31">
        <f>100-Datasheet!BV53</f>
        <v>86</v>
      </c>
      <c r="AN53" s="121" t="e">
        <f>(Datasheet!CL53-Datasheet!CK53)/Datasheet!CK53</f>
        <v>#VALUE!</v>
      </c>
    </row>
    <row r="54" spans="1:40">
      <c r="A54" s="42" t="s">
        <v>230</v>
      </c>
      <c r="B54" s="42" t="s">
        <v>231</v>
      </c>
      <c r="C54" s="42" t="s">
        <v>232</v>
      </c>
      <c r="D54" s="116">
        <f>Datasheet!G54/Datasheet!E54</f>
        <v>0.75289298123031867</v>
      </c>
      <c r="E54" s="116">
        <f>Datasheet!I54/Datasheet!E54</f>
        <v>0.24710701876968136</v>
      </c>
      <c r="F54" s="116">
        <f>(Datasheet!E54-Datasheet!D54)/Datasheet!D54</f>
        <v>6.0874068357669425E-2</v>
      </c>
      <c r="G54" s="116">
        <f>(Datasheet!G54-Datasheet!F54)/Datasheet!F54</f>
        <v>2.0657082057403853E-2</v>
      </c>
      <c r="H54" s="116">
        <f>(Datasheet!I54-Datasheet!H54)/Datasheet!H54</f>
        <v>0.20561315027552068</v>
      </c>
      <c r="I54" s="116">
        <f>(Datasheet!K54-Datasheet!J54)/Datasheet!J54</f>
        <v>0.18367346938775511</v>
      </c>
      <c r="J54" s="116">
        <f>Datasheet!F54/Datasheet!D54</f>
        <v>0.78255924940598287</v>
      </c>
      <c r="K54" s="116">
        <f>Datasheet!H54/Datasheet!D54</f>
        <v>0.21744075059401718</v>
      </c>
      <c r="L54" s="116">
        <f>Datasheet!R54/Datasheet!Q54</f>
        <v>0.87912087912087911</v>
      </c>
      <c r="M54" s="117">
        <f>(Datasheet!AB54-Datasheet!AA54)/Datasheet!AA54</f>
        <v>0</v>
      </c>
      <c r="N54" s="118">
        <f>Datasheet!AC54/Datasheet!E54</f>
        <v>2.976731720857222E-2</v>
      </c>
      <c r="O54" s="111">
        <f>SUM(Datasheet!AD54:AG54)</f>
        <v>855</v>
      </c>
      <c r="P54" s="111">
        <f>SUM(Datasheet!AH54:AK54)</f>
        <v>1705</v>
      </c>
      <c r="Q54" s="111">
        <f t="shared" si="0"/>
        <v>2560</v>
      </c>
      <c r="R54" s="118">
        <f>Q54/Datasheet!AC54</f>
        <v>0.82315112540192925</v>
      </c>
      <c r="S54" s="118">
        <f>Datasheet!AL54/Datasheet!G54</f>
        <v>1.1568777015001272E-2</v>
      </c>
      <c r="T54" s="118">
        <f>Datasheet!AM54/Datasheet!I54</f>
        <v>8.5215168299957386E-2</v>
      </c>
      <c r="U54" s="119">
        <f>O54/Datasheet!AL54</f>
        <v>0.93956043956043955</v>
      </c>
      <c r="V54" s="119">
        <f>P54/Datasheet!AM54</f>
        <v>0.77500000000000002</v>
      </c>
      <c r="W54" s="120">
        <f>((Datasheet!AP54-Datasheet!AO54)/Datasheet!AO54)*100</f>
        <v>0.75169684508412371</v>
      </c>
      <c r="X54" s="119">
        <f>Datasheet!AQ54/Datasheet!AR54</f>
        <v>0.54979875305816428</v>
      </c>
      <c r="Y54" s="111">
        <f>Datasheet!AV54+Datasheet!AS54</f>
        <v>42563</v>
      </c>
      <c r="Z54" s="117">
        <f>Datasheet!AW54/(Datasheet!AS54+Datasheet!AV54)</f>
        <v>0.66987759321476403</v>
      </c>
      <c r="AA54" s="111">
        <f>Datasheet!AX54+Datasheet!AT54</f>
        <v>39169</v>
      </c>
      <c r="AB54" s="119">
        <f>Datasheet!AY54/(Datasheet!AT54+Datasheet!AX54)</f>
        <v>0.57969312466491363</v>
      </c>
      <c r="AC54" s="119">
        <f>Datasheet!AU54/(Datasheet!AU54+Datasheet!AZ54)</f>
        <v>0.91778639046062849</v>
      </c>
      <c r="AD54" s="119">
        <f>Datasheet!AZ54/(Datasheet!AU54+Datasheet!AZ54)</f>
        <v>8.2213609539371513E-2</v>
      </c>
      <c r="AE54" s="117">
        <f>(Datasheet!BB54-Datasheet!BA54)/Datasheet!BA54</f>
        <v>0.14877212578148027</v>
      </c>
      <c r="AF54" s="118">
        <f>(Datasheet!AX54+Datasheet!AT54)/Datasheet!BB54</f>
        <v>0.52894626676209644</v>
      </c>
      <c r="AG54" s="111">
        <f>(Datasheet!AP54*1000)/Datasheet!E54</f>
        <v>872.36425241919278</v>
      </c>
      <c r="AH54" s="119">
        <f>Datasheet!BW54/SUM(Datasheet!$BW54:$BZ54)</f>
        <v>0.69841269841269837</v>
      </c>
      <c r="AI54" s="119">
        <f>Datasheet!BX54/SUM(Datasheet!$BW54:$BZ54)</f>
        <v>9.5238095238095233E-2</v>
      </c>
      <c r="AJ54" s="119">
        <f>Datasheet!BY54/SUM(Datasheet!$BW54:$BZ54)</f>
        <v>5.5555555555555552E-2</v>
      </c>
      <c r="AK54" s="119">
        <f>Datasheet!BZ54/SUM(Datasheet!$BW54:$BZ54)</f>
        <v>0.15079365079365079</v>
      </c>
      <c r="AL54" s="31">
        <f>Datasheet!BR54+Datasheet!BS54</f>
        <v>10</v>
      </c>
      <c r="AM54" s="31">
        <f>100-Datasheet!BV54</f>
        <v>17</v>
      </c>
      <c r="AN54" s="121">
        <f>(Datasheet!CL54-Datasheet!CK54)/Datasheet!CK54</f>
        <v>1.6129032258064516E-2</v>
      </c>
    </row>
    <row r="55" spans="1:40">
      <c r="A55" s="42" t="s">
        <v>233</v>
      </c>
      <c r="B55" s="42" t="s">
        <v>234</v>
      </c>
      <c r="C55" s="42" t="s">
        <v>235</v>
      </c>
      <c r="D55" s="116">
        <f>Datasheet!G55/Datasheet!E55</f>
        <v>0.86637664310225204</v>
      </c>
      <c r="E55" s="116">
        <f>Datasheet!I55/Datasheet!E55</f>
        <v>0.13362335689774793</v>
      </c>
      <c r="F55" s="116">
        <f>(Datasheet!E55-Datasheet!D55)/Datasheet!D55</f>
        <v>3.4724288245870469E-2</v>
      </c>
      <c r="G55" s="116">
        <f>(Datasheet!G55-Datasheet!F55)/Datasheet!F55</f>
        <v>1.3697928855604962E-2</v>
      </c>
      <c r="H55" s="116">
        <f>(Datasheet!I55-Datasheet!H55)/Datasheet!H55</f>
        <v>0.19550385862878872</v>
      </c>
      <c r="I55" s="116">
        <f>(Datasheet!K55-Datasheet!J55)/Datasheet!J55</f>
        <v>0.17823639774859287</v>
      </c>
      <c r="J55" s="116">
        <f>Datasheet!F55/Datasheet!D55</f>
        <v>0.88434722994735415</v>
      </c>
      <c r="K55" s="116">
        <f>Datasheet!H55/Datasheet!D55</f>
        <v>0.11565277005264588</v>
      </c>
      <c r="L55" s="116">
        <f>Datasheet!R55/Datasheet!Q55</f>
        <v>0.87671232876712324</v>
      </c>
      <c r="M55" s="117">
        <f>(Datasheet!AB55-Datasheet!AA55)/Datasheet!AA55</f>
        <v>-1.5822784810126583E-2</v>
      </c>
      <c r="N55" s="118">
        <f>Datasheet!AC55/Datasheet!E55</f>
        <v>2.1126716545719338E-2</v>
      </c>
      <c r="O55" s="111">
        <f>SUM(Datasheet!AD55:AG55)</f>
        <v>1015</v>
      </c>
      <c r="P55" s="111">
        <f>SUM(Datasheet!AH55:AK55)</f>
        <v>2030</v>
      </c>
      <c r="Q55" s="111">
        <f t="shared" si="0"/>
        <v>3045</v>
      </c>
      <c r="R55" s="118">
        <f>Q55/Datasheet!AC55</f>
        <v>0.90088757396449703</v>
      </c>
      <c r="S55" s="118">
        <f>Datasheet!AL55/Datasheet!G55</f>
        <v>8.0802833870816469E-3</v>
      </c>
      <c r="T55" s="118">
        <f>Datasheet!AM55/Datasheet!I55</f>
        <v>0.1057161567967069</v>
      </c>
      <c r="U55" s="119">
        <f>O55/Datasheet!AL55</f>
        <v>0.90625</v>
      </c>
      <c r="V55" s="119">
        <f>P55/Datasheet!AM55</f>
        <v>0.89823008849557517</v>
      </c>
      <c r="W55" s="120">
        <f>((Datasheet!AP55-Datasheet!AO55)/Datasheet!AO55)*100</f>
        <v>9.3103002070393384</v>
      </c>
      <c r="X55" s="119">
        <f>Datasheet!AQ55/Datasheet!AR55</f>
        <v>0.54775989138867343</v>
      </c>
      <c r="Y55" s="111">
        <f>Datasheet!AV55+Datasheet!AS55</f>
        <v>39850</v>
      </c>
      <c r="Z55" s="117">
        <f>Datasheet!AW55/(Datasheet!AS55+Datasheet!AV55)</f>
        <v>0.46915934755332495</v>
      </c>
      <c r="AA55" s="111">
        <f>Datasheet!AX55+Datasheet!AT55</f>
        <v>43682</v>
      </c>
      <c r="AB55" s="119">
        <f>Datasheet!AY55/(Datasheet!AT55+Datasheet!AX55)</f>
        <v>0.85289135112861136</v>
      </c>
      <c r="AC55" s="119">
        <f>Datasheet!AU55/(Datasheet!AU55+Datasheet!AZ55)</f>
        <v>0.98951620282618069</v>
      </c>
      <c r="AD55" s="119">
        <f>Datasheet!AZ55/(Datasheet!AU55+Datasheet!AZ55)</f>
        <v>1.0483797173819266E-2</v>
      </c>
      <c r="AE55" s="117">
        <f>(Datasheet!BB55-Datasheet!BA55)/Datasheet!BA55</f>
        <v>0.11488574093505888</v>
      </c>
      <c r="AF55" s="118">
        <f>(Datasheet!AX55+Datasheet!AT55)/Datasheet!BB55</f>
        <v>0.57101400018300896</v>
      </c>
      <c r="AG55" s="111">
        <f>(Datasheet!AP55*1000)/Datasheet!E55</f>
        <v>633.61398113596726</v>
      </c>
      <c r="AH55" s="119">
        <f>Datasheet!BW55/SUM(Datasheet!$BW55:$BZ55)</f>
        <v>0.73684210526315785</v>
      </c>
      <c r="AI55" s="119">
        <f>Datasheet!BX55/SUM(Datasheet!$BW55:$BZ55)</f>
        <v>7.8947368421052627E-2</v>
      </c>
      <c r="AJ55" s="119">
        <f>Datasheet!BY55/SUM(Datasheet!$BW55:$BZ55)</f>
        <v>6.1403508771929821E-2</v>
      </c>
      <c r="AK55" s="119">
        <f>Datasheet!BZ55/SUM(Datasheet!$BW55:$BZ55)</f>
        <v>0.12280701754385964</v>
      </c>
      <c r="AL55" s="31">
        <f>Datasheet!BR55+Datasheet!BS55</f>
        <v>39</v>
      </c>
      <c r="AM55" s="31">
        <f>100-Datasheet!BV55</f>
        <v>70</v>
      </c>
      <c r="AN55" s="121">
        <f>(Datasheet!CL55-Datasheet!CK55)/Datasheet!CK55</f>
        <v>6.0606060606060608E-2</v>
      </c>
    </row>
    <row r="56" spans="1:40">
      <c r="A56" s="42" t="s">
        <v>236</v>
      </c>
      <c r="B56" s="42" t="s">
        <v>237</v>
      </c>
      <c r="C56" s="42" t="s">
        <v>238</v>
      </c>
      <c r="D56" s="116">
        <f>Datasheet!G56/Datasheet!E56</f>
        <v>0.71467605945449442</v>
      </c>
      <c r="E56" s="116">
        <f>Datasheet!I56/Datasheet!E56</f>
        <v>0.28532394054550553</v>
      </c>
      <c r="F56" s="116">
        <f>(Datasheet!E56-Datasheet!D56)/Datasheet!D56</f>
        <v>8.1142152453893876E-2</v>
      </c>
      <c r="G56" s="116">
        <f>(Datasheet!G56-Datasheet!F56)/Datasheet!F56</f>
        <v>4.2098470704021389E-2</v>
      </c>
      <c r="H56" s="116">
        <f>(Datasheet!I56-Datasheet!H56)/Datasheet!H56</f>
        <v>0.19311005196509839</v>
      </c>
      <c r="I56" s="116">
        <f>(Datasheet!K56-Datasheet!J56)/Datasheet!J56</f>
        <v>0.27692865654629295</v>
      </c>
      <c r="J56" s="116">
        <f>Datasheet!F56/Datasheet!D56</f>
        <v>0.7414524010421979</v>
      </c>
      <c r="K56" s="116">
        <f>Datasheet!H56/Datasheet!D56</f>
        <v>0.2585475989578021</v>
      </c>
      <c r="L56" s="116">
        <f>Datasheet!R56/Datasheet!Q56</f>
        <v>0.89110429447852757</v>
      </c>
      <c r="M56" s="117">
        <f>(Datasheet!AB56-Datasheet!AA56)/Datasheet!AA56</f>
        <v>6.8919191240679786E-2</v>
      </c>
      <c r="N56" s="118">
        <f>Datasheet!AC56/Datasheet!E56</f>
        <v>1.6029145772602255E-2</v>
      </c>
      <c r="O56" s="111">
        <f>SUM(Datasheet!AD56:AG56)</f>
        <v>4995</v>
      </c>
      <c r="P56" s="111">
        <f>SUM(Datasheet!AH56:AK56)</f>
        <v>6915</v>
      </c>
      <c r="Q56" s="111">
        <f t="shared" si="0"/>
        <v>11910</v>
      </c>
      <c r="R56" s="118">
        <f>Q56/Datasheet!AC56</f>
        <v>0.637239165329053</v>
      </c>
      <c r="S56" s="118">
        <f>Datasheet!AL56/Datasheet!G56</f>
        <v>7.1881753914795517E-3</v>
      </c>
      <c r="T56" s="118">
        <f>Datasheet!AM56/Datasheet!I56</f>
        <v>3.8173904679459435E-2</v>
      </c>
      <c r="U56" s="119">
        <f>O56/Datasheet!AL56</f>
        <v>0.833889816360601</v>
      </c>
      <c r="V56" s="119">
        <f>P56/Datasheet!AM56</f>
        <v>0.54448818897637796</v>
      </c>
      <c r="W56" s="120">
        <f>((Datasheet!AP56-Datasheet!AO56)/Datasheet!AO56)*100</f>
        <v>4.4849515435554999</v>
      </c>
      <c r="X56" s="119">
        <f>Datasheet!AQ56/Datasheet!AR56</f>
        <v>0.60762290939078289</v>
      </c>
      <c r="Y56" s="111">
        <f>Datasheet!AV56+Datasheet!AS56</f>
        <v>263773</v>
      </c>
      <c r="Z56" s="117">
        <f>Datasheet!AW56/(Datasheet!AS56+Datasheet!AV56)</f>
        <v>0.60318152350695486</v>
      </c>
      <c r="AA56" s="111">
        <f>Datasheet!AX56+Datasheet!AT56</f>
        <v>407585</v>
      </c>
      <c r="AB56" s="119">
        <f>Datasheet!AY56/(Datasheet!AT56+Datasheet!AX56)</f>
        <v>0.71761963762160041</v>
      </c>
      <c r="AC56" s="119">
        <f>Datasheet!AU56/(Datasheet!AU56+Datasheet!AZ56)</f>
        <v>0.93846108670991912</v>
      </c>
      <c r="AD56" s="119">
        <f>Datasheet!AZ56/(Datasheet!AU56+Datasheet!AZ56)</f>
        <v>6.1538913290080891E-2</v>
      </c>
      <c r="AE56" s="117">
        <f>(Datasheet!BB56-Datasheet!BA56)/Datasheet!BA56</f>
        <v>0.11078227222709568</v>
      </c>
      <c r="AF56" s="118">
        <f>(Datasheet!AX56+Datasheet!AT56)/Datasheet!BB56</f>
        <v>0.62990878659277283</v>
      </c>
      <c r="AG56" s="111">
        <f>(Datasheet!AP56*1000)/Datasheet!E56</f>
        <v>648.17354359044293</v>
      </c>
      <c r="AH56" s="119">
        <f>Datasheet!BW56/SUM(Datasheet!$BW56:$BZ56)</f>
        <v>0.72916666666666663</v>
      </c>
      <c r="AI56" s="119">
        <f>Datasheet!BX56/SUM(Datasheet!$BW56:$BZ56)</f>
        <v>8.0729166666666671E-2</v>
      </c>
      <c r="AJ56" s="119">
        <f>Datasheet!BY56/SUM(Datasheet!$BW56:$BZ56)</f>
        <v>4.4270833333333336E-2</v>
      </c>
      <c r="AK56" s="119">
        <f>Datasheet!BZ56/SUM(Datasheet!$BW56:$BZ56)</f>
        <v>0.14583333333333334</v>
      </c>
      <c r="AL56" s="31">
        <f>Datasheet!BR56+Datasheet!BS56</f>
        <v>36</v>
      </c>
      <c r="AM56" s="31">
        <f>100-Datasheet!BV56</f>
        <v>36</v>
      </c>
      <c r="AN56" s="121">
        <f>(Datasheet!CL56-Datasheet!CK56)/Datasheet!CK56</f>
        <v>3.5119047619047619E-2</v>
      </c>
    </row>
    <row r="57" spans="1:40">
      <c r="A57" s="42" t="s">
        <v>239</v>
      </c>
      <c r="B57" s="42" t="s">
        <v>240</v>
      </c>
      <c r="C57" s="42" t="s">
        <v>241</v>
      </c>
      <c r="D57" s="116">
        <f>Datasheet!G57/Datasheet!E57</f>
        <v>0.85555953305222243</v>
      </c>
      <c r="E57" s="116">
        <f>Datasheet!I57/Datasheet!E57</f>
        <v>0.14444046694777754</v>
      </c>
      <c r="F57" s="116">
        <f>(Datasheet!E57-Datasheet!D57)/Datasheet!D57</f>
        <v>7.1781088750081943E-3</v>
      </c>
      <c r="G57" s="116">
        <f>(Datasheet!G57-Datasheet!F57)/Datasheet!F57</f>
        <v>-2.5765364193184644E-2</v>
      </c>
      <c r="H57" s="116">
        <f>(Datasheet!I57-Datasheet!H57)/Datasheet!H57</f>
        <v>0.25943491831853743</v>
      </c>
      <c r="I57" s="116">
        <f>(Datasheet!K57-Datasheet!J57)/Datasheet!J57</f>
        <v>0.3428462709284627</v>
      </c>
      <c r="J57" s="116">
        <f>Datasheet!F57/Datasheet!D57</f>
        <v>0.88449004054952562</v>
      </c>
      <c r="K57" s="116">
        <f>Datasheet!H57/Datasheet!D57</f>
        <v>0.11550995945047432</v>
      </c>
      <c r="L57" s="116">
        <f>Datasheet!R57/Datasheet!Q57</f>
        <v>0.8902439024390244</v>
      </c>
      <c r="M57" s="117">
        <f>(Datasheet!AB57-Datasheet!AA57)/Datasheet!AA57</f>
        <v>-2.0887728459530026E-2</v>
      </c>
      <c r="N57" s="118">
        <f>Datasheet!AC57/Datasheet!E57</f>
        <v>2.0781128689580146E-2</v>
      </c>
      <c r="O57" s="111">
        <f>SUM(Datasheet!AD57:AG57)</f>
        <v>1795</v>
      </c>
      <c r="P57" s="111">
        <f>SUM(Datasheet!AH57:AK57)</f>
        <v>1850</v>
      </c>
      <c r="Q57" s="111">
        <f t="shared" si="0"/>
        <v>3645</v>
      </c>
      <c r="R57" s="118">
        <f>Q57/Datasheet!AC57</f>
        <v>0.81543624161073824</v>
      </c>
      <c r="S57" s="118">
        <f>Datasheet!AL57/Datasheet!G57</f>
        <v>1.0731945878389394E-2</v>
      </c>
      <c r="T57" s="118">
        <f>Datasheet!AM57/Datasheet!I57</f>
        <v>8.0305127297306003E-2</v>
      </c>
      <c r="U57" s="119">
        <f>O57/Datasheet!AL57</f>
        <v>0.90886075949367084</v>
      </c>
      <c r="V57" s="119">
        <f>P57/Datasheet!AM57</f>
        <v>0.74148296593186369</v>
      </c>
      <c r="W57" s="120">
        <f>((Datasheet!AP57-Datasheet!AO57)/Datasheet!AO57)*100</f>
        <v>9.3231391328949282</v>
      </c>
      <c r="X57" s="119">
        <f>Datasheet!AQ57/Datasheet!AR57</f>
        <v>0.50379232838092303</v>
      </c>
      <c r="Y57" s="111">
        <f>Datasheet!AV57+Datasheet!AS57</f>
        <v>76974</v>
      </c>
      <c r="Z57" s="117">
        <f>Datasheet!AW57/(Datasheet!AS57+Datasheet!AV57)</f>
        <v>0.53436225218905087</v>
      </c>
      <c r="AA57" s="111">
        <f>Datasheet!AX57+Datasheet!AT57</f>
        <v>56286</v>
      </c>
      <c r="AB57" s="119">
        <f>Datasheet!AY57/(Datasheet!AT57+Datasheet!AX57)</f>
        <v>0.71053192623387695</v>
      </c>
      <c r="AC57" s="119">
        <f>Datasheet!AU57/(Datasheet!AU57+Datasheet!AZ57)</f>
        <v>0.97594345739852162</v>
      </c>
      <c r="AD57" s="119">
        <f>Datasheet!AZ57/(Datasheet!AU57+Datasheet!AZ57)</f>
        <v>2.4056542601478409E-2</v>
      </c>
      <c r="AE57" s="117">
        <f>(Datasheet!BB57-Datasheet!BA57)/Datasheet!BA57</f>
        <v>9.8736296520585271E-2</v>
      </c>
      <c r="AF57" s="118">
        <f>(Datasheet!AX57+Datasheet!AT57)/Datasheet!BB57</f>
        <v>0.45621514719232265</v>
      </c>
      <c r="AG57" s="111">
        <f>(Datasheet!AP57*1000)/Datasheet!E57</f>
        <v>736.5445678501527</v>
      </c>
      <c r="AH57" s="119">
        <f>Datasheet!BW57/SUM(Datasheet!$BW57:$BZ57)</f>
        <v>0.77777777777777779</v>
      </c>
      <c r="AI57" s="119">
        <f>Datasheet!BX57/SUM(Datasheet!$BW57:$BZ57)</f>
        <v>9.0277777777777776E-2</v>
      </c>
      <c r="AJ57" s="119">
        <f>Datasheet!BY57/SUM(Datasheet!$BW57:$BZ57)</f>
        <v>3.4722222222222224E-2</v>
      </c>
      <c r="AK57" s="119">
        <f>Datasheet!BZ57/SUM(Datasheet!$BW57:$BZ57)</f>
        <v>9.7222222222222224E-2</v>
      </c>
      <c r="AL57" s="31">
        <f>Datasheet!BR57+Datasheet!BS57</f>
        <v>47</v>
      </c>
      <c r="AM57" s="31">
        <f>100-Datasheet!BV57</f>
        <v>87</v>
      </c>
      <c r="AN57" s="121">
        <f>(Datasheet!CL57-Datasheet!CK57)/Datasheet!CK57</f>
        <v>-0.36875000000000002</v>
      </c>
    </row>
    <row r="58" spans="1:40">
      <c r="A58" s="42" t="s">
        <v>242</v>
      </c>
      <c r="B58" s="42" t="s">
        <v>243</v>
      </c>
      <c r="C58" s="42" t="s">
        <v>244</v>
      </c>
      <c r="D58" s="116">
        <f>Datasheet!G58/Datasheet!E58</f>
        <v>0.7952877919459328</v>
      </c>
      <c r="E58" s="116">
        <f>Datasheet!I58/Datasheet!E58</f>
        <v>0.20471220805406717</v>
      </c>
      <c r="F58" s="116">
        <f>(Datasheet!E58-Datasheet!D58)/Datasheet!D58</f>
        <v>8.6233731995558782E-2</v>
      </c>
      <c r="G58" s="116">
        <f>(Datasheet!G58-Datasheet!F58)/Datasheet!F58</f>
        <v>6.1169583359282555E-2</v>
      </c>
      <c r="H58" s="116">
        <f>(Datasheet!I58-Datasheet!H58)/Datasheet!H58</f>
        <v>0.19597524064025304</v>
      </c>
      <c r="I58" s="116">
        <f>(Datasheet!K58-Datasheet!J58)/Datasheet!J58</f>
        <v>0.24253144654088049</v>
      </c>
      <c r="J58" s="116">
        <f>Datasheet!F58/Datasheet!D58</f>
        <v>0.81407198227567013</v>
      </c>
      <c r="K58" s="116">
        <f>Datasheet!H58/Datasheet!D58</f>
        <v>0.18592801772432987</v>
      </c>
      <c r="L58" s="116">
        <f>Datasheet!R58/Datasheet!Q58</f>
        <v>0.87022900763358779</v>
      </c>
      <c r="M58" s="117">
        <f>(Datasheet!AB58-Datasheet!AA58)/Datasheet!AA58</f>
        <v>3.434065934065934E-3</v>
      </c>
      <c r="N58" s="118">
        <f>Datasheet!AC58/Datasheet!E58</f>
        <v>1.5215727274424509E-2</v>
      </c>
      <c r="O58" s="111">
        <f>SUM(Datasheet!AD58:AG58)</f>
        <v>1045</v>
      </c>
      <c r="P58" s="111">
        <f>SUM(Datasheet!AH58:AK58)</f>
        <v>1400</v>
      </c>
      <c r="Q58" s="111">
        <f t="shared" si="0"/>
        <v>2445</v>
      </c>
      <c r="R58" s="118">
        <f>Q58/Datasheet!AC58</f>
        <v>0.75</v>
      </c>
      <c r="S58" s="118">
        <f>Datasheet!AL58/Datasheet!G58</f>
        <v>7.2479928635147189E-3</v>
      </c>
      <c r="T58" s="118">
        <f>Datasheet!AM58/Datasheet!I58</f>
        <v>4.6169630642954859E-2</v>
      </c>
      <c r="U58" s="119">
        <f>O58/Datasheet!AL58</f>
        <v>0.84615384615384615</v>
      </c>
      <c r="V58" s="119">
        <f>P58/Datasheet!AM58</f>
        <v>0.69135802469135799</v>
      </c>
      <c r="W58" s="120">
        <f>((Datasheet!AP58-Datasheet!AO58)/Datasheet!AO58)*100</f>
        <v>6.097183800408942</v>
      </c>
      <c r="X58" s="119">
        <f>Datasheet!AQ58/Datasheet!AR58</f>
        <v>0.46187049731094715</v>
      </c>
      <c r="Y58" s="111">
        <f>Datasheet!AV58+Datasheet!AS58</f>
        <v>46195</v>
      </c>
      <c r="Z58" s="117">
        <f>Datasheet!AW58/(Datasheet!AS58+Datasheet!AV58)</f>
        <v>0.62099794350037885</v>
      </c>
      <c r="AA58" s="111">
        <f>Datasheet!AX58+Datasheet!AT58</f>
        <v>56367</v>
      </c>
      <c r="AB58" s="119">
        <f>Datasheet!AY58/(Datasheet!AT58+Datasheet!AX58)</f>
        <v>0.76984760586868206</v>
      </c>
      <c r="AC58" s="119">
        <f>Datasheet!AU58/(Datasheet!AU58+Datasheet!AZ58)</f>
        <v>0.97352844795805515</v>
      </c>
      <c r="AD58" s="119">
        <f>Datasheet!AZ58/(Datasheet!AU58+Datasheet!AZ58)</f>
        <v>2.6471552041944867E-2</v>
      </c>
      <c r="AE58" s="117">
        <f>(Datasheet!BB58-Datasheet!BA58)/Datasheet!BA58</f>
        <v>7.4598615650413216E-2</v>
      </c>
      <c r="AF58" s="118">
        <f>(Datasheet!AX58+Datasheet!AT58)/Datasheet!BB58</f>
        <v>0.57722320075369682</v>
      </c>
      <c r="AG58" s="111">
        <f>(Datasheet!AP58*1000)/Datasheet!E58</f>
        <v>576.40068704142789</v>
      </c>
      <c r="AH58" s="119">
        <f>Datasheet!BW58/SUM(Datasheet!$BW58:$BZ58)</f>
        <v>0.76666666666666672</v>
      </c>
      <c r="AI58" s="119">
        <f>Datasheet!BX58/SUM(Datasheet!$BW58:$BZ58)</f>
        <v>7.9166666666666663E-2</v>
      </c>
      <c r="AJ58" s="119">
        <f>Datasheet!BY58/SUM(Datasheet!$BW58:$BZ58)</f>
        <v>4.583333333333333E-2</v>
      </c>
      <c r="AK58" s="119">
        <f>Datasheet!BZ58/SUM(Datasheet!$BW58:$BZ58)</f>
        <v>0.10833333333333334</v>
      </c>
      <c r="AL58" s="31">
        <f>Datasheet!BR58+Datasheet!BS58</f>
        <v>67</v>
      </c>
      <c r="AM58" s="31">
        <f>100-Datasheet!BV58</f>
        <v>86</v>
      </c>
      <c r="AN58" s="121">
        <f>(Datasheet!CL58-Datasheet!CK58)/Datasheet!CK58</f>
        <v>0.58888888888888891</v>
      </c>
    </row>
    <row r="59" spans="1:40">
      <c r="A59" s="42" t="s">
        <v>245</v>
      </c>
      <c r="B59" s="42" t="s">
        <v>246</v>
      </c>
      <c r="C59" s="42" t="s">
        <v>247</v>
      </c>
      <c r="D59" s="116">
        <f>Datasheet!G59/Datasheet!E59</f>
        <v>0.7424213463817424</v>
      </c>
      <c r="E59" s="116">
        <f>Datasheet!I59/Datasheet!E59</f>
        <v>0.2575786536182576</v>
      </c>
      <c r="F59" s="116">
        <f>(Datasheet!E59-Datasheet!D59)/Datasheet!D59</f>
        <v>8.5360625129659085E-2</v>
      </c>
      <c r="G59" s="116">
        <f>(Datasheet!G59-Datasheet!F59)/Datasheet!F59</f>
        <v>5.6580164300092488E-2</v>
      </c>
      <c r="H59" s="116">
        <f>(Datasheet!I59-Datasheet!H59)/Datasheet!H59</f>
        <v>0.17783475119449949</v>
      </c>
      <c r="I59" s="116">
        <f>(Datasheet!K59-Datasheet!J59)/Datasheet!J59</f>
        <v>0.23005836575875485</v>
      </c>
      <c r="J59" s="116">
        <f>Datasheet!F59/Datasheet!D59</f>
        <v>0.76264435377913009</v>
      </c>
      <c r="K59" s="116">
        <f>Datasheet!H59/Datasheet!D59</f>
        <v>0.23735564622086994</v>
      </c>
      <c r="L59" s="116">
        <f>Datasheet!R59/Datasheet!Q59</f>
        <v>0.86153846153846159</v>
      </c>
      <c r="M59" s="117">
        <f>(Datasheet!AB59-Datasheet!AA59)/Datasheet!AA59</f>
        <v>3.9880358923230306E-3</v>
      </c>
      <c r="N59" s="118">
        <f>Datasheet!AC59/Datasheet!E59</f>
        <v>2.554888693502555E-2</v>
      </c>
      <c r="O59" s="111">
        <f>SUM(Datasheet!AD59:AG59)</f>
        <v>530</v>
      </c>
      <c r="P59" s="111">
        <f>SUM(Datasheet!AH59:AK59)</f>
        <v>885</v>
      </c>
      <c r="Q59" s="111">
        <f t="shared" si="0"/>
        <v>1415</v>
      </c>
      <c r="R59" s="118">
        <f>Q59/Datasheet!AC59</f>
        <v>0.70573566084788031</v>
      </c>
      <c r="S59" s="118">
        <f>Datasheet!AL59/Datasheet!G59</f>
        <v>1.0212313131833239E-2</v>
      </c>
      <c r="T59" s="118">
        <f>Datasheet!AM59/Datasheet!I59</f>
        <v>6.9753636093796381E-2</v>
      </c>
      <c r="U59" s="119">
        <f>O59/Datasheet!AL59</f>
        <v>0.89075630252100846</v>
      </c>
      <c r="V59" s="119">
        <f>P59/Datasheet!AM59</f>
        <v>0.62765957446808507</v>
      </c>
      <c r="W59" s="120">
        <f>((Datasheet!AP59-Datasheet!AO59)/Datasheet!AO59)*100</f>
        <v>6.5790635652342848</v>
      </c>
      <c r="X59" s="119">
        <f>Datasheet!AQ59/Datasheet!AR59</f>
        <v>0.44924245144149644</v>
      </c>
      <c r="Y59" s="111">
        <f>Datasheet!AV59+Datasheet!AS59</f>
        <v>14288</v>
      </c>
      <c r="Z59" s="117">
        <f>Datasheet!AW59/(Datasheet!AS59+Datasheet!AV59)</f>
        <v>0.67441209406494962</v>
      </c>
      <c r="AA59" s="111">
        <f>Datasheet!AX59+Datasheet!AT59</f>
        <v>33258</v>
      </c>
      <c r="AB59" s="119">
        <f>Datasheet!AY59/(Datasheet!AT59+Datasheet!AX59)</f>
        <v>0.50835889109387211</v>
      </c>
      <c r="AC59" s="119">
        <f>Datasheet!AU59/(Datasheet!AU59+Datasheet!AZ59)</f>
        <v>0.93206976008674824</v>
      </c>
      <c r="AD59" s="119">
        <f>Datasheet!AZ59/(Datasheet!AU59+Datasheet!AZ59)</f>
        <v>6.79302399132517E-2</v>
      </c>
      <c r="AE59" s="117">
        <f>(Datasheet!BB59-Datasheet!BA59)/Datasheet!BA59</f>
        <v>0.13587026250288675</v>
      </c>
      <c r="AF59" s="118">
        <f>(Datasheet!AX59+Datasheet!AT59)/Datasheet!BB59</f>
        <v>0.75132155604753081</v>
      </c>
      <c r="AG59" s="111">
        <f>(Datasheet!AP59*1000)/Datasheet!E59</f>
        <v>768.93866992876895</v>
      </c>
      <c r="AH59" s="119">
        <f>Datasheet!BW59/SUM(Datasheet!$BW59:$BZ59)</f>
        <v>0.70796460176991149</v>
      </c>
      <c r="AI59" s="119">
        <f>Datasheet!BX59/SUM(Datasheet!$BW59:$BZ59)</f>
        <v>8.8495575221238937E-2</v>
      </c>
      <c r="AJ59" s="119">
        <f>Datasheet!BY59/SUM(Datasheet!$BW59:$BZ59)</f>
        <v>4.4247787610619468E-2</v>
      </c>
      <c r="AK59" s="119">
        <f>Datasheet!BZ59/SUM(Datasheet!$BW59:$BZ59)</f>
        <v>0.15929203539823009</v>
      </c>
      <c r="AL59" s="31">
        <f>Datasheet!BR59+Datasheet!BS59</f>
        <v>2</v>
      </c>
      <c r="AM59" s="31">
        <f>100-Datasheet!BV59</f>
        <v>4</v>
      </c>
      <c r="AN59" s="121">
        <f>(Datasheet!CL59-Datasheet!CK59)/Datasheet!CK59</f>
        <v>0.45126353790613716</v>
      </c>
    </row>
    <row r="60" spans="1:40">
      <c r="A60" s="42" t="s">
        <v>248</v>
      </c>
      <c r="B60" s="42" t="s">
        <v>249</v>
      </c>
      <c r="C60" s="42" t="s">
        <v>250</v>
      </c>
      <c r="D60" s="116">
        <f>Datasheet!G60/Datasheet!E60</f>
        <v>0.77636154023518567</v>
      </c>
      <c r="E60" s="116">
        <f>Datasheet!I60/Datasheet!E60</f>
        <v>0.22363845976481439</v>
      </c>
      <c r="F60" s="116">
        <f>(Datasheet!E60-Datasheet!D60)/Datasheet!D60</f>
        <v>0.10557093549094283</v>
      </c>
      <c r="G60" s="116">
        <f>(Datasheet!G60-Datasheet!F60)/Datasheet!F60</f>
        <v>0.11922616673314719</v>
      </c>
      <c r="H60" s="116">
        <f>(Datasheet!I60-Datasheet!H60)/Datasheet!H60</f>
        <v>6.0647814010454257E-2</v>
      </c>
      <c r="I60" s="116">
        <f>(Datasheet!K60-Datasheet!J60)/Datasheet!J60</f>
        <v>6.9656073138876798E-2</v>
      </c>
      <c r="J60" s="116">
        <f>Datasheet!F60/Datasheet!D60</f>
        <v>0.7668894632997354</v>
      </c>
      <c r="K60" s="116">
        <f>Datasheet!H60/Datasheet!D60</f>
        <v>0.2331105367002646</v>
      </c>
      <c r="L60" s="116">
        <f>Datasheet!R60/Datasheet!Q60</f>
        <v>0.88636363636363635</v>
      </c>
      <c r="M60" s="117">
        <f>(Datasheet!AB60-Datasheet!AA60)/Datasheet!AA60</f>
        <v>0.10730337078651686</v>
      </c>
      <c r="N60" s="118">
        <f>Datasheet!AC60/Datasheet!E60</f>
        <v>1.70624855891169E-2</v>
      </c>
      <c r="O60" s="111">
        <f>SUM(Datasheet!AD60:AG60)</f>
        <v>1060</v>
      </c>
      <c r="P60" s="111">
        <f>SUM(Datasheet!AH60:AK60)</f>
        <v>1670</v>
      </c>
      <c r="Q60" s="111">
        <f t="shared" si="0"/>
        <v>2730</v>
      </c>
      <c r="R60" s="118">
        <f>Q60/Datasheet!AC60</f>
        <v>0.73783783783783785</v>
      </c>
      <c r="S60" s="118">
        <f>Datasheet!AL60/Datasheet!G60</f>
        <v>7.1872364184991152E-3</v>
      </c>
      <c r="T60" s="118">
        <f>Datasheet!AM60/Datasheet!I60</f>
        <v>5.1344440778620916E-2</v>
      </c>
      <c r="U60" s="119">
        <f>O60/Datasheet!AL60</f>
        <v>0.87603305785123964</v>
      </c>
      <c r="V60" s="119">
        <f>P60/Datasheet!AM60</f>
        <v>0.67068273092369479</v>
      </c>
      <c r="W60" s="120">
        <f>((Datasheet!AP60-Datasheet!AO60)/Datasheet!AO60)*100</f>
        <v>12.734959122353434</v>
      </c>
      <c r="X60" s="119">
        <f>Datasheet!AQ60/Datasheet!AR60</f>
        <v>0.54668159299248287</v>
      </c>
      <c r="Y60" s="111">
        <f>Datasheet!AV60+Datasheet!AS60</f>
        <v>51939</v>
      </c>
      <c r="Z60" s="117">
        <f>Datasheet!AW60/(Datasheet!AS60+Datasheet!AV60)</f>
        <v>0.6040740098962244</v>
      </c>
      <c r="AA60" s="111">
        <f>Datasheet!AX60+Datasheet!AT60</f>
        <v>59311</v>
      </c>
      <c r="AB60" s="119">
        <f>Datasheet!AY60/(Datasheet!AT60+Datasheet!AX60)</f>
        <v>0.75078821803712636</v>
      </c>
      <c r="AC60" s="119">
        <f>Datasheet!AU60/(Datasheet!AU60+Datasheet!AZ60)</f>
        <v>0.98018814139110599</v>
      </c>
      <c r="AD60" s="119">
        <f>Datasheet!AZ60/(Datasheet!AU60+Datasheet!AZ60)</f>
        <v>1.9811858608893958E-2</v>
      </c>
      <c r="AE60" s="117">
        <f>(Datasheet!BB60-Datasheet!BA60)/Datasheet!BA60</f>
        <v>0.13061601598590489</v>
      </c>
      <c r="AF60" s="118">
        <f>(Datasheet!AX60+Datasheet!AT60)/Datasheet!BB60</f>
        <v>0.56357848726719884</v>
      </c>
      <c r="AG60" s="111">
        <f>(Datasheet!AP60*1000)/Datasheet!E60</f>
        <v>595.1948351394974</v>
      </c>
      <c r="AH60" s="119">
        <f>Datasheet!BW60/SUM(Datasheet!$BW60:$BZ60)</f>
        <v>0.7686274509803922</v>
      </c>
      <c r="AI60" s="119">
        <f>Datasheet!BX60/SUM(Datasheet!$BW60:$BZ60)</f>
        <v>7.8431372549019607E-2</v>
      </c>
      <c r="AJ60" s="119">
        <f>Datasheet!BY60/SUM(Datasheet!$BW60:$BZ60)</f>
        <v>4.3137254901960784E-2</v>
      </c>
      <c r="AK60" s="119">
        <f>Datasheet!BZ60/SUM(Datasheet!$BW60:$BZ60)</f>
        <v>0.10980392156862745</v>
      </c>
      <c r="AL60" s="31">
        <f>Datasheet!BR60+Datasheet!BS60</f>
        <v>51</v>
      </c>
      <c r="AM60" s="31">
        <f>100-Datasheet!BV60</f>
        <v>63</v>
      </c>
      <c r="AN60" s="121">
        <f>(Datasheet!CL60-Datasheet!CK60)/Datasheet!CK60</f>
        <v>-7.8895463510848127E-2</v>
      </c>
    </row>
    <row r="61" spans="1:40">
      <c r="A61" s="42" t="s">
        <v>251</v>
      </c>
      <c r="B61" s="42" t="s">
        <v>252</v>
      </c>
      <c r="C61" s="42" t="s">
        <v>253</v>
      </c>
      <c r="D61" s="116">
        <f>Datasheet!G61/Datasheet!E61</f>
        <v>0.66761021554523048</v>
      </c>
      <c r="E61" s="116">
        <f>Datasheet!I61/Datasheet!E61</f>
        <v>0.33238978445476952</v>
      </c>
      <c r="F61" s="116">
        <f>(Datasheet!E61-Datasheet!D61)/Datasheet!D61</f>
        <v>5.3946126961767947E-2</v>
      </c>
      <c r="G61" s="116">
        <f>(Datasheet!G61-Datasheet!F61)/Datasheet!F61</f>
        <v>-6.6506575614880964E-3</v>
      </c>
      <c r="H61" s="116">
        <f>(Datasheet!I61-Datasheet!H61)/Datasheet!H61</f>
        <v>0.20111171860761801</v>
      </c>
      <c r="I61" s="116">
        <f>(Datasheet!K61-Datasheet!J61)/Datasheet!J61</f>
        <v>0.20623420387531594</v>
      </c>
      <c r="J61" s="116">
        <f>Datasheet!F61/Datasheet!D61</f>
        <v>0.70833610184582263</v>
      </c>
      <c r="K61" s="116">
        <f>Datasheet!H61/Datasheet!D61</f>
        <v>0.29166389815417737</v>
      </c>
      <c r="L61" s="116">
        <f>Datasheet!R61/Datasheet!Q61</f>
        <v>0.83783783783783783</v>
      </c>
      <c r="M61" s="117">
        <f>(Datasheet!AB61-Datasheet!AA61)/Datasheet!AA61</f>
        <v>4.4559099437148218E-2</v>
      </c>
      <c r="N61" s="118">
        <f>Datasheet!AC61/Datasheet!E61</f>
        <v>2.0489090347431928E-2</v>
      </c>
      <c r="O61" s="111">
        <f>SUM(Datasheet!AD61:AG61)</f>
        <v>685</v>
      </c>
      <c r="P61" s="111">
        <f>SUM(Datasheet!AH61:AK61)</f>
        <v>1550</v>
      </c>
      <c r="Q61" s="111">
        <f t="shared" si="0"/>
        <v>2235</v>
      </c>
      <c r="R61" s="118">
        <f>Q61/Datasheet!AC61</f>
        <v>0.68769230769230771</v>
      </c>
      <c r="S61" s="118">
        <f>Datasheet!AL61/Datasheet!G61</f>
        <v>8.4988243293011127E-3</v>
      </c>
      <c r="T61" s="118">
        <f>Datasheet!AM61/Datasheet!I61</f>
        <v>4.4571732038540327E-2</v>
      </c>
      <c r="U61" s="119">
        <f>O61/Datasheet!AL61</f>
        <v>0.76111111111111107</v>
      </c>
      <c r="V61" s="119">
        <f>P61/Datasheet!AM61</f>
        <v>0.65957446808510634</v>
      </c>
      <c r="W61" s="120">
        <f>((Datasheet!AP61-Datasheet!AO61)/Datasheet!AO61)*100</f>
        <v>11.247319513938528</v>
      </c>
      <c r="X61" s="119">
        <f>Datasheet!AQ61/Datasheet!AR61</f>
        <v>0.50509069191085532</v>
      </c>
      <c r="Y61" s="111">
        <f>Datasheet!AV61+Datasheet!AS61</f>
        <v>46525</v>
      </c>
      <c r="Z61" s="117">
        <f>Datasheet!AW61/(Datasheet!AS61+Datasheet!AV61)</f>
        <v>0.57362708221386349</v>
      </c>
      <c r="AA61" s="111">
        <f>Datasheet!AX61+Datasheet!AT61</f>
        <v>59572</v>
      </c>
      <c r="AB61" s="119">
        <f>Datasheet!AY61/(Datasheet!AT61+Datasheet!AX61)</f>
        <v>0.73996172698583229</v>
      </c>
      <c r="AC61" s="119">
        <f>Datasheet!AU61/(Datasheet!AU61+Datasheet!AZ61)</f>
        <v>0.92939782696864259</v>
      </c>
      <c r="AD61" s="119">
        <f>Datasheet!AZ61/(Datasheet!AU61+Datasheet!AZ61)</f>
        <v>7.0602173031357393E-2</v>
      </c>
      <c r="AE61" s="117">
        <f>(Datasheet!BB61-Datasheet!BA61)/Datasheet!BA61</f>
        <v>0.11243825987841945</v>
      </c>
      <c r="AF61" s="118">
        <f>(Datasheet!AX61+Datasheet!AT61)/Datasheet!BB61</f>
        <v>0.63581445983734286</v>
      </c>
      <c r="AG61" s="111">
        <f>(Datasheet!AP61*1000)/Datasheet!E61</f>
        <v>784.94020337786299</v>
      </c>
      <c r="AH61" s="119">
        <f>Datasheet!BW61/SUM(Datasheet!$BW61:$BZ61)</f>
        <v>0.68778280542986425</v>
      </c>
      <c r="AI61" s="119">
        <f>Datasheet!BX61/SUM(Datasheet!$BW61:$BZ61)</f>
        <v>7.6923076923076927E-2</v>
      </c>
      <c r="AJ61" s="119">
        <f>Datasheet!BY61/SUM(Datasheet!$BW61:$BZ61)</f>
        <v>5.4298642533936653E-2</v>
      </c>
      <c r="AK61" s="119">
        <f>Datasheet!BZ61/SUM(Datasheet!$BW61:$BZ61)</f>
        <v>0.18099547511312217</v>
      </c>
      <c r="AL61" s="31">
        <f>Datasheet!BR61+Datasheet!BS61</f>
        <v>25</v>
      </c>
      <c r="AM61" s="31">
        <f>100-Datasheet!BV61</f>
        <v>20</v>
      </c>
      <c r="AN61" s="121">
        <f>(Datasheet!CL61-Datasheet!CK61)/Datasheet!CK61</f>
        <v>2.564102564102564E-2</v>
      </c>
    </row>
    <row r="62" spans="1:40">
      <c r="A62" s="42" t="s">
        <v>254</v>
      </c>
      <c r="B62" s="42" t="s">
        <v>255</v>
      </c>
      <c r="C62" s="42" t="s">
        <v>256</v>
      </c>
      <c r="D62" s="116">
        <f>Datasheet!G62/Datasheet!E62</f>
        <v>0.77077291183294661</v>
      </c>
      <c r="E62" s="116">
        <f>Datasheet!I62/Datasheet!E62</f>
        <v>0.22922708816705337</v>
      </c>
      <c r="F62" s="116">
        <f>(Datasheet!E62-Datasheet!D62)/Datasheet!D62</f>
        <v>6.7330579069734012E-2</v>
      </c>
      <c r="G62" s="116">
        <f>(Datasheet!G62-Datasheet!F62)/Datasheet!F62</f>
        <v>4.6035485657575495E-2</v>
      </c>
      <c r="H62" s="116">
        <f>(Datasheet!I62-Datasheet!H62)/Datasheet!H62</f>
        <v>0.14576160620447215</v>
      </c>
      <c r="I62" s="116">
        <f>(Datasheet!K62-Datasheet!J62)/Datasheet!J62</f>
        <v>0.18767427905827538</v>
      </c>
      <c r="J62" s="116">
        <f>Datasheet!F62/Datasheet!D62</f>
        <v>0.78646423529385756</v>
      </c>
      <c r="K62" s="116">
        <f>Datasheet!H62/Datasheet!D62</f>
        <v>0.21353576470614247</v>
      </c>
      <c r="L62" s="116">
        <f>Datasheet!R62/Datasheet!Q62</f>
        <v>0.87354651162790697</v>
      </c>
      <c r="M62" s="117">
        <f>(Datasheet!AB62-Datasheet!AA62)/Datasheet!AA62</f>
        <v>1.7763950220794862E-2</v>
      </c>
      <c r="N62" s="118">
        <f>Datasheet!AC62/Datasheet!E62</f>
        <v>1.6023781902552204E-2</v>
      </c>
      <c r="O62" s="111">
        <f>SUM(Datasheet!AD62:AG62)</f>
        <v>4725</v>
      </c>
      <c r="P62" s="111">
        <f>SUM(Datasheet!AH62:AK62)</f>
        <v>6275</v>
      </c>
      <c r="Q62" s="111">
        <f t="shared" si="0"/>
        <v>11000</v>
      </c>
      <c r="R62" s="118">
        <f>Q62/Datasheet!AC62</f>
        <v>0.71105365223012285</v>
      </c>
      <c r="S62" s="118">
        <f>Datasheet!AL62/Datasheet!G62</f>
        <v>7.5053585706894585E-3</v>
      </c>
      <c r="T62" s="118">
        <f>Datasheet!AM62/Datasheet!I62</f>
        <v>4.4666862474865003E-2</v>
      </c>
      <c r="U62" s="119">
        <f>O62/Datasheet!AL62</f>
        <v>0.84601611459265891</v>
      </c>
      <c r="V62" s="119">
        <f>P62/Datasheet!AM62</f>
        <v>0.63480020232675771</v>
      </c>
      <c r="W62" s="120">
        <f>((Datasheet!AP62-Datasheet!AO62)/Datasheet!AO62)*100</f>
        <v>4.9145775006362937</v>
      </c>
      <c r="X62" s="119">
        <f>Datasheet!AQ62/Datasheet!AR62</f>
        <v>0.54762523644442107</v>
      </c>
      <c r="Y62" s="111">
        <f>Datasheet!AV62+Datasheet!AS62</f>
        <v>297479</v>
      </c>
      <c r="Z62" s="117">
        <f>Datasheet!AW62/(Datasheet!AS62+Datasheet!AV62)</f>
        <v>0.72169127904826891</v>
      </c>
      <c r="AA62" s="111">
        <f>Datasheet!AX62+Datasheet!AT62</f>
        <v>255115</v>
      </c>
      <c r="AB62" s="119">
        <f>Datasheet!AY62/(Datasheet!AT62+Datasheet!AX62)</f>
        <v>0.61388785449699157</v>
      </c>
      <c r="AC62" s="119">
        <f>Datasheet!AU62/(Datasheet!AU62+Datasheet!AZ62)</f>
        <v>0.98747321640361729</v>
      </c>
      <c r="AD62" s="119">
        <f>Datasheet!AZ62/(Datasheet!AU62+Datasheet!AZ62)</f>
        <v>1.2526783596382719E-2</v>
      </c>
      <c r="AE62" s="117">
        <f>(Datasheet!BB62-Datasheet!BA62)/Datasheet!BA62</f>
        <v>0.12584034077114922</v>
      </c>
      <c r="AF62" s="118">
        <f>(Datasheet!AX62+Datasheet!AT62)/Datasheet!BB62</f>
        <v>0.50012056294071638</v>
      </c>
      <c r="AG62" s="111">
        <f>(Datasheet!AP62*1000)/Datasheet!E62</f>
        <v>683.14447298641039</v>
      </c>
      <c r="AH62" s="119">
        <f>Datasheet!BW62/SUM(Datasheet!$BW62:$BZ62)</f>
        <v>0.75</v>
      </c>
      <c r="AI62" s="119">
        <f>Datasheet!BX62/SUM(Datasheet!$BW62:$BZ62)</f>
        <v>9.0624999999999997E-2</v>
      </c>
      <c r="AJ62" s="119">
        <f>Datasheet!BY62/SUM(Datasheet!$BW62:$BZ62)</f>
        <v>3.4375000000000003E-2</v>
      </c>
      <c r="AK62" s="119">
        <f>Datasheet!BZ62/SUM(Datasheet!$BW62:$BZ62)</f>
        <v>0.125</v>
      </c>
      <c r="AL62" s="31">
        <f>Datasheet!BR62+Datasheet!BS62</f>
        <v>44</v>
      </c>
      <c r="AM62" s="31">
        <f>100-Datasheet!BV62</f>
        <v>50</v>
      </c>
      <c r="AN62" s="121">
        <f>(Datasheet!CL62-Datasheet!CK62)/Datasheet!CK62</f>
        <v>6.6225165562913912E-2</v>
      </c>
    </row>
    <row r="63" spans="1:40">
      <c r="A63" s="42" t="s">
        <v>257</v>
      </c>
      <c r="B63" s="42" t="s">
        <v>258</v>
      </c>
      <c r="C63" s="42" t="s">
        <v>259</v>
      </c>
      <c r="D63" s="116">
        <f>Datasheet!G63/Datasheet!E63</f>
        <v>0.82542150699329608</v>
      </c>
      <c r="E63" s="116">
        <f>Datasheet!I63/Datasheet!E63</f>
        <v>0.17457849300670397</v>
      </c>
      <c r="F63" s="116">
        <f>(Datasheet!E63-Datasheet!D63)/Datasheet!D63</f>
        <v>0.13211726326297776</v>
      </c>
      <c r="G63" s="116">
        <f>(Datasheet!G63-Datasheet!F63)/Datasheet!F63</f>
        <v>0.12702030110347273</v>
      </c>
      <c r="H63" s="116">
        <f>(Datasheet!I63-Datasheet!H63)/Datasheet!H63</f>
        <v>0.1568540498239207</v>
      </c>
      <c r="I63" s="116">
        <f>(Datasheet!K63-Datasheet!J63)/Datasheet!J63</f>
        <v>0.20713731574864236</v>
      </c>
      <c r="J63" s="116">
        <f>Datasheet!F63/Datasheet!D63</f>
        <v>0.82915448516828294</v>
      </c>
      <c r="K63" s="116">
        <f>Datasheet!H63/Datasheet!D63</f>
        <v>0.17084551483171706</v>
      </c>
      <c r="L63" s="116">
        <f>Datasheet!R63/Datasheet!Q63</f>
        <v>0.88079470198675491</v>
      </c>
      <c r="M63" s="117">
        <f>(Datasheet!AB63-Datasheet!AA63)/Datasheet!AA63</f>
        <v>-3.0510585305105854E-2</v>
      </c>
      <c r="N63" s="118">
        <f>Datasheet!AC63/Datasheet!E63</f>
        <v>1.5352577855284238E-2</v>
      </c>
      <c r="O63" s="111">
        <f>SUM(Datasheet!AD63:AG63)</f>
        <v>1355</v>
      </c>
      <c r="P63" s="111">
        <f>SUM(Datasheet!AH63:AK63)</f>
        <v>1600</v>
      </c>
      <c r="Q63" s="111">
        <f t="shared" si="0"/>
        <v>2955</v>
      </c>
      <c r="R63" s="118">
        <f>Q63/Datasheet!AC63</f>
        <v>0.75769230769230766</v>
      </c>
      <c r="S63" s="118">
        <f>Datasheet!AL63/Datasheet!G63</f>
        <v>7.4875644431302785E-3</v>
      </c>
      <c r="T63" s="118">
        <f>Datasheet!AM63/Datasheet!I63</f>
        <v>5.2539009650942547E-2</v>
      </c>
      <c r="U63" s="119">
        <f>O63/Datasheet!AL63</f>
        <v>0.86305732484076436</v>
      </c>
      <c r="V63" s="119">
        <f>P63/Datasheet!AM63</f>
        <v>0.68669527896995708</v>
      </c>
      <c r="W63" s="120">
        <f>((Datasheet!AP63-Datasheet!AO63)/Datasheet!AO63)*100</f>
        <v>8.4506270880113927</v>
      </c>
      <c r="X63" s="119">
        <f>Datasheet!AQ63/Datasheet!AR63</f>
        <v>0.66886907902861825</v>
      </c>
      <c r="Y63" s="111">
        <f>Datasheet!AV63+Datasheet!AS63</f>
        <v>65918</v>
      </c>
      <c r="Z63" s="117">
        <f>Datasheet!AW63/(Datasheet!AS63+Datasheet!AV63)</f>
        <v>0.63172426347886768</v>
      </c>
      <c r="AA63" s="111">
        <f>Datasheet!AX63+Datasheet!AT63</f>
        <v>45548</v>
      </c>
      <c r="AB63" s="119">
        <f>Datasheet!AY63/(Datasheet!AT63+Datasheet!AX63)</f>
        <v>0.3696320365328884</v>
      </c>
      <c r="AC63" s="119">
        <f>Datasheet!AU63/(Datasheet!AU63+Datasheet!AZ63)</f>
        <v>0.95317115232905869</v>
      </c>
      <c r="AD63" s="119">
        <f>Datasheet!AZ63/(Datasheet!AU63+Datasheet!AZ63)</f>
        <v>4.6828847670941344E-2</v>
      </c>
      <c r="AE63" s="117">
        <f>(Datasheet!BB63-Datasheet!BA63)/Datasheet!BA63</f>
        <v>0.13732772741025132</v>
      </c>
      <c r="AF63" s="118">
        <f>(Datasheet!AX63+Datasheet!AT63)/Datasheet!BB63</f>
        <v>0.41781789494927257</v>
      </c>
      <c r="AG63" s="111">
        <f>(Datasheet!AP63*1000)/Datasheet!E63</f>
        <v>545.66210944419731</v>
      </c>
      <c r="AH63" s="119">
        <f>Datasheet!BW63/SUM(Datasheet!$BW63:$BZ63)</f>
        <v>0.80321285140562249</v>
      </c>
      <c r="AI63" s="119">
        <f>Datasheet!BX63/SUM(Datasheet!$BW63:$BZ63)</f>
        <v>7.6305220883534142E-2</v>
      </c>
      <c r="AJ63" s="119">
        <f>Datasheet!BY63/SUM(Datasheet!$BW63:$BZ63)</f>
        <v>3.2128514056224897E-2</v>
      </c>
      <c r="AK63" s="119">
        <f>Datasheet!BZ63/SUM(Datasheet!$BW63:$BZ63)</f>
        <v>8.8353413654618476E-2</v>
      </c>
      <c r="AL63" s="31">
        <f>Datasheet!BR63+Datasheet!BS63</f>
        <v>47</v>
      </c>
      <c r="AM63" s="31">
        <f>100-Datasheet!BV63</f>
        <v>68</v>
      </c>
      <c r="AN63" s="121">
        <f>(Datasheet!CL63-Datasheet!CK63)/Datasheet!CK63</f>
        <v>0</v>
      </c>
    </row>
    <row r="64" spans="1:40">
      <c r="A64" s="42" t="s">
        <v>260</v>
      </c>
      <c r="B64" s="42" t="s">
        <v>261</v>
      </c>
      <c r="C64" s="42" t="s">
        <v>262</v>
      </c>
      <c r="D64" s="116">
        <f>Datasheet!G64/Datasheet!E64</f>
        <v>0.8391318944232673</v>
      </c>
      <c r="E64" s="116">
        <f>Datasheet!I64/Datasheet!E64</f>
        <v>0.16086810557673267</v>
      </c>
      <c r="F64" s="116">
        <f>(Datasheet!E64-Datasheet!D64)/Datasheet!D64</f>
        <v>0.11002250074294906</v>
      </c>
      <c r="G64" s="116">
        <f>(Datasheet!G64-Datasheet!F64)/Datasheet!F64</f>
        <v>8.5289979334300658E-2</v>
      </c>
      <c r="H64" s="116">
        <f>(Datasheet!I64-Datasheet!H64)/Datasheet!H64</f>
        <v>0.25977569969050551</v>
      </c>
      <c r="I64" s="116">
        <f>(Datasheet!K64-Datasheet!J64)/Datasheet!J64</f>
        <v>0.31363122171945701</v>
      </c>
      <c r="J64" s="116">
        <f>Datasheet!F64/Datasheet!D64</f>
        <v>0.8582547536946975</v>
      </c>
      <c r="K64" s="116">
        <f>Datasheet!H64/Datasheet!D64</f>
        <v>0.14174524630530252</v>
      </c>
      <c r="L64" s="116">
        <f>Datasheet!R64/Datasheet!Q64</f>
        <v>0.87387387387387383</v>
      </c>
      <c r="M64" s="117">
        <f>(Datasheet!AB64-Datasheet!AA64)/Datasheet!AA64</f>
        <v>4.5402951191827468E-3</v>
      </c>
      <c r="N64" s="118">
        <f>Datasheet!AC64/Datasheet!E64</f>
        <v>1.8145735327239426E-2</v>
      </c>
      <c r="O64" s="111">
        <f>SUM(Datasheet!AD64:AG64)</f>
        <v>1705</v>
      </c>
      <c r="P64" s="111">
        <f>SUM(Datasheet!AH64:AK64)</f>
        <v>1920</v>
      </c>
      <c r="Q64" s="111">
        <f t="shared" si="0"/>
        <v>3625</v>
      </c>
      <c r="R64" s="118">
        <f>Q64/Datasheet!AC64</f>
        <v>0.84894613583138179</v>
      </c>
      <c r="S64" s="118">
        <f>Datasheet!AL64/Datasheet!G64</f>
        <v>9.3435699020571038E-3</v>
      </c>
      <c r="T64" s="118">
        <f>Datasheet!AM64/Datasheet!I64</f>
        <v>6.4060229824329684E-2</v>
      </c>
      <c r="U64" s="119">
        <f>O64/Datasheet!AL64</f>
        <v>0.92411924119241196</v>
      </c>
      <c r="V64" s="119">
        <f>P64/Datasheet!AM64</f>
        <v>0.79175257731958759</v>
      </c>
      <c r="W64" s="120">
        <f>((Datasheet!AP64-Datasheet!AO64)/Datasheet!AO64)*100</f>
        <v>10.759352270940729</v>
      </c>
      <c r="X64" s="119">
        <f>Datasheet!AQ64/Datasheet!AR64</f>
        <v>0.4770160262068695</v>
      </c>
      <c r="Y64" s="111">
        <f>Datasheet!AV64+Datasheet!AS64</f>
        <v>55437</v>
      </c>
      <c r="Z64" s="117">
        <f>Datasheet!AW64/(Datasheet!AS64+Datasheet!AV64)</f>
        <v>0.59454876706892512</v>
      </c>
      <c r="AA64" s="111">
        <f>Datasheet!AX64+Datasheet!AT64</f>
        <v>55166</v>
      </c>
      <c r="AB64" s="119">
        <f>Datasheet!AY64/(Datasheet!AT64+Datasheet!AX64)</f>
        <v>0.65525867382083169</v>
      </c>
      <c r="AC64" s="119">
        <f>Datasheet!AU64/(Datasheet!AU64+Datasheet!AZ64)</f>
        <v>0.97565143101238783</v>
      </c>
      <c r="AD64" s="119">
        <f>Datasheet!AZ64/(Datasheet!AU64+Datasheet!AZ64)</f>
        <v>2.4348568987612132E-2</v>
      </c>
      <c r="AE64" s="117">
        <f>(Datasheet!BB64-Datasheet!BA64)/Datasheet!BA64</f>
        <v>0.18111598294191844</v>
      </c>
      <c r="AF64" s="118">
        <f>(Datasheet!AX64+Datasheet!AT64)/Datasheet!BB64</f>
        <v>0.56107483574378059</v>
      </c>
      <c r="AG64" s="111">
        <f>(Datasheet!AP64*1000)/Datasheet!E64</f>
        <v>568.83268102177067</v>
      </c>
      <c r="AH64" s="119">
        <f>Datasheet!BW64/SUM(Datasheet!$BW64:$BZ64)</f>
        <v>0.76190476190476186</v>
      </c>
      <c r="AI64" s="119">
        <f>Datasheet!BX64/SUM(Datasheet!$BW64:$BZ64)</f>
        <v>8.4656084656084651E-2</v>
      </c>
      <c r="AJ64" s="119">
        <f>Datasheet!BY64/SUM(Datasheet!$BW64:$BZ64)</f>
        <v>3.7037037037037035E-2</v>
      </c>
      <c r="AK64" s="119">
        <f>Datasheet!BZ64/SUM(Datasheet!$BW64:$BZ64)</f>
        <v>0.1164021164021164</v>
      </c>
      <c r="AL64" s="31">
        <f>Datasheet!BR64+Datasheet!BS64</f>
        <v>54</v>
      </c>
      <c r="AM64" s="31">
        <f>100-Datasheet!BV64</f>
        <v>76</v>
      </c>
      <c r="AN64" s="121">
        <f>(Datasheet!CL64-Datasheet!CK64)/Datasheet!CK64</f>
        <v>3.9215686274509803E-3</v>
      </c>
    </row>
    <row r="65" spans="1:40">
      <c r="A65" s="42" t="s">
        <v>263</v>
      </c>
      <c r="B65" s="42" t="s">
        <v>264</v>
      </c>
      <c r="C65" s="42" t="s">
        <v>265</v>
      </c>
      <c r="D65" s="116">
        <f>Datasheet!G65/Datasheet!E65</f>
        <v>0.63057330237760345</v>
      </c>
      <c r="E65" s="116">
        <f>Datasheet!I65/Datasheet!E65</f>
        <v>0.3694266976223966</v>
      </c>
      <c r="F65" s="116">
        <f>(Datasheet!E65-Datasheet!D65)/Datasheet!D65</f>
        <v>3.2167220570229138E-2</v>
      </c>
      <c r="G65" s="116">
        <f>(Datasheet!G65-Datasheet!F65)/Datasheet!F65</f>
        <v>-3.6547474172082546E-2</v>
      </c>
      <c r="H65" s="116">
        <f>(Datasheet!I65-Datasheet!H65)/Datasheet!H65</f>
        <v>0.1752385573346272</v>
      </c>
      <c r="I65" s="116">
        <f>(Datasheet!K65-Datasheet!J65)/Datasheet!J65</f>
        <v>0.12951865455248404</v>
      </c>
      <c r="J65" s="116">
        <f>Datasheet!F65/Datasheet!D65</f>
        <v>0.6755466153577051</v>
      </c>
      <c r="K65" s="116">
        <f>Datasheet!H65/Datasheet!D65</f>
        <v>0.3244533846422949</v>
      </c>
      <c r="L65" s="116">
        <f>Datasheet!R65/Datasheet!Q65</f>
        <v>0.8867924528301887</v>
      </c>
      <c r="M65" s="117">
        <f>(Datasheet!AB65-Datasheet!AA65)/Datasheet!AA65</f>
        <v>5.7647058823529412E-2</v>
      </c>
      <c r="N65" s="118">
        <f>Datasheet!AC65/Datasheet!E65</f>
        <v>2.6394278838821197E-2</v>
      </c>
      <c r="O65" s="111">
        <f>SUM(Datasheet!AD65:AG65)</f>
        <v>835</v>
      </c>
      <c r="P65" s="111">
        <f>SUM(Datasheet!AH65:AK65)</f>
        <v>1025</v>
      </c>
      <c r="Q65" s="111">
        <f t="shared" si="0"/>
        <v>1860</v>
      </c>
      <c r="R65" s="118">
        <f>Q65/Datasheet!AC65</f>
        <v>0.5971107544141252</v>
      </c>
      <c r="S65" s="118">
        <f>Datasheet!AL65/Datasheet!G65</f>
        <v>1.4243674330480119E-2</v>
      </c>
      <c r="T65" s="118">
        <f>Datasheet!AM65/Datasheet!I65</f>
        <v>4.7134108580472033E-2</v>
      </c>
      <c r="U65" s="119">
        <f>O65/Datasheet!AL65</f>
        <v>0.78773584905660377</v>
      </c>
      <c r="V65" s="119">
        <f>P65/Datasheet!AM65</f>
        <v>0.49878345498783455</v>
      </c>
      <c r="W65" s="120">
        <f>((Datasheet!AP65-Datasheet!AO65)/Datasheet!AO65)*100</f>
        <v>13.664300801096035</v>
      </c>
      <c r="X65" s="119">
        <f>Datasheet!AQ65/Datasheet!AR65</f>
        <v>0.5430394475916811</v>
      </c>
      <c r="Y65" s="111">
        <f>Datasheet!AV65+Datasheet!AS65</f>
        <v>39234</v>
      </c>
      <c r="Z65" s="117">
        <f>Datasheet!AW65/(Datasheet!AS65+Datasheet!AV65)</f>
        <v>0.63253810470510274</v>
      </c>
      <c r="AA65" s="111">
        <f>Datasheet!AX65+Datasheet!AT65</f>
        <v>52942</v>
      </c>
      <c r="AB65" s="119">
        <f>Datasheet!AY65/(Datasheet!AT65+Datasheet!AX65)</f>
        <v>0.61901703751274983</v>
      </c>
      <c r="AC65" s="119">
        <f>Datasheet!AU65/(Datasheet!AU65+Datasheet!AZ65)</f>
        <v>0.94170647116179751</v>
      </c>
      <c r="AD65" s="119">
        <f>Datasheet!AZ65/(Datasheet!AU65+Datasheet!AZ65)</f>
        <v>5.8293528838202442E-2</v>
      </c>
      <c r="AE65" s="117">
        <f>(Datasheet!BB65-Datasheet!BA65)/Datasheet!BA65</f>
        <v>9.9260565768943765E-2</v>
      </c>
      <c r="AF65" s="118">
        <f>(Datasheet!AX65+Datasheet!AT65)/Datasheet!BB65</f>
        <v>0.65343552906036706</v>
      </c>
      <c r="AG65" s="111">
        <f>(Datasheet!AP65*1000)/Datasheet!E65</f>
        <v>1012.2862614177499</v>
      </c>
      <c r="AH65" s="119">
        <f>Datasheet!BW65/SUM(Datasheet!$BW65:$BZ65)</f>
        <v>0.70967741935483875</v>
      </c>
      <c r="AI65" s="119">
        <f>Datasheet!BX65/SUM(Datasheet!$BW65:$BZ65)</f>
        <v>8.0645161290322578E-2</v>
      </c>
      <c r="AJ65" s="119">
        <f>Datasheet!BY65/SUM(Datasheet!$BW65:$BZ65)</f>
        <v>3.7634408602150539E-2</v>
      </c>
      <c r="AK65" s="119">
        <f>Datasheet!BZ65/SUM(Datasheet!$BW65:$BZ65)</f>
        <v>0.17204301075268819</v>
      </c>
      <c r="AL65" s="31">
        <f>Datasheet!BR65+Datasheet!BS65</f>
        <v>19</v>
      </c>
      <c r="AM65" s="31">
        <f>100-Datasheet!BV65</f>
        <v>14</v>
      </c>
      <c r="AN65" s="121">
        <f>(Datasheet!CL65-Datasheet!CK65)/Datasheet!CK65</f>
        <v>-0.18085106382978725</v>
      </c>
    </row>
    <row r="66" spans="1:40">
      <c r="A66" s="42" t="s">
        <v>266</v>
      </c>
      <c r="B66" s="42" t="s">
        <v>267</v>
      </c>
      <c r="C66" s="42" t="s">
        <v>268</v>
      </c>
      <c r="D66" s="116">
        <f>Datasheet!G66/Datasheet!E66</f>
        <v>0.6853932584269663</v>
      </c>
      <c r="E66" s="116">
        <f>Datasheet!I66/Datasheet!E66</f>
        <v>0.3146067415730337</v>
      </c>
      <c r="F66" s="116">
        <f>(Datasheet!E66-Datasheet!D66)/Datasheet!D66</f>
        <v>4.6499198289684664E-2</v>
      </c>
      <c r="G66" s="116">
        <f>(Datasheet!G66-Datasheet!F66)/Datasheet!F66</f>
        <v>3.5493827160493825E-2</v>
      </c>
      <c r="H66" s="116">
        <f>(Datasheet!I66-Datasheet!H66)/Datasheet!H66</f>
        <v>7.1304347826086953E-2</v>
      </c>
      <c r="I66" s="116">
        <f>(Datasheet!K66-Datasheet!J66)/Datasheet!J66</f>
        <v>0.30864197530864196</v>
      </c>
      <c r="J66" s="116">
        <f>Datasheet!F66/Datasheet!D66</f>
        <v>0.69267771245323362</v>
      </c>
      <c r="K66" s="116">
        <f>Datasheet!H66/Datasheet!D66</f>
        <v>0.30732228754676644</v>
      </c>
      <c r="L66" s="116" t="e">
        <f>Datasheet!R66/Datasheet!Q66</f>
        <v>#VALUE!</v>
      </c>
      <c r="M66" s="117">
        <f>(Datasheet!AB66-Datasheet!AA66)/Datasheet!AA66</f>
        <v>0.8571428571428571</v>
      </c>
      <c r="N66" s="118" t="e">
        <f>Datasheet!AC66/Datasheet!E66</f>
        <v>#VALUE!</v>
      </c>
      <c r="O66" s="111">
        <f>SUM(Datasheet!AD66:AG66)</f>
        <v>0</v>
      </c>
      <c r="P66" s="111">
        <f>SUM(Datasheet!AH66:AK66)</f>
        <v>0</v>
      </c>
      <c r="Q66" s="111">
        <f t="shared" si="0"/>
        <v>0</v>
      </c>
      <c r="R66" s="118" t="e">
        <f>Q66/Datasheet!AC66</f>
        <v>#VALUE!</v>
      </c>
      <c r="S66" s="118" t="e">
        <f>Datasheet!AL66/Datasheet!G66</f>
        <v>#VALUE!</v>
      </c>
      <c r="T66" s="118" t="e">
        <f>Datasheet!AM66/Datasheet!I66</f>
        <v>#VALUE!</v>
      </c>
      <c r="U66" s="119" t="e">
        <f>O66/Datasheet!AL66</f>
        <v>#VALUE!</v>
      </c>
      <c r="V66" s="119" t="e">
        <f>P66/Datasheet!AM66</f>
        <v>#VALUE!</v>
      </c>
      <c r="W66" s="120">
        <f>((Datasheet!AP66-Datasheet!AO66)/Datasheet!AO66)*100</f>
        <v>9.5173041894353361</v>
      </c>
      <c r="X66" s="119" t="e">
        <f>Datasheet!AQ66/Datasheet!AR66</f>
        <v>#VALUE!</v>
      </c>
      <c r="Y66" s="111">
        <f>Datasheet!AV66+Datasheet!AS66</f>
        <v>160</v>
      </c>
      <c r="Z66" s="117">
        <f>Datasheet!AW66/(Datasheet!AS66+Datasheet!AV66)</f>
        <v>0.91249999999999998</v>
      </c>
      <c r="AA66" s="111">
        <f>Datasheet!AX66+Datasheet!AT66</f>
        <v>1581</v>
      </c>
      <c r="AB66" s="119">
        <f>Datasheet!AY66/(Datasheet!AT66+Datasheet!AX66)</f>
        <v>0.4946236559139785</v>
      </c>
      <c r="AC66" s="119">
        <f>Datasheet!AU66/(Datasheet!AU66+Datasheet!AZ66)</f>
        <v>0.98789346246973364</v>
      </c>
      <c r="AD66" s="119">
        <f>Datasheet!AZ66/(Datasheet!AU66+Datasheet!AZ66)</f>
        <v>1.2106537530266344E-2</v>
      </c>
      <c r="AE66" s="117">
        <f>(Datasheet!BB66-Datasheet!BA66)/Datasheet!BA66</f>
        <v>-9.5923261390887284E-3</v>
      </c>
      <c r="AF66" s="118">
        <f>(Datasheet!AX66+Datasheet!AT66)/Datasheet!BB66</f>
        <v>0.95702179176755453</v>
      </c>
      <c r="AG66" s="111">
        <f>(Datasheet!AP66*1000)/Datasheet!E66</f>
        <v>1228.2941777323799</v>
      </c>
      <c r="AH66" s="119" t="e">
        <f>Datasheet!BW66/SUM(Datasheet!$BW66:$BZ66)</f>
        <v>#DIV/0!</v>
      </c>
      <c r="AI66" s="119" t="e">
        <f>Datasheet!BX66/SUM(Datasheet!$BW66:$BZ66)</f>
        <v>#DIV/0!</v>
      </c>
      <c r="AJ66" s="119" t="e">
        <f>Datasheet!BY66/SUM(Datasheet!$BW66:$BZ66)</f>
        <v>#DIV/0!</v>
      </c>
      <c r="AK66" s="119" t="e">
        <f>Datasheet!BZ66/SUM(Datasheet!$BW66:$BZ66)</f>
        <v>#DIV/0!</v>
      </c>
      <c r="AL66" s="31">
        <f>Datasheet!BR66+Datasheet!BS66</f>
        <v>0</v>
      </c>
      <c r="AM66" s="31">
        <f>100-Datasheet!BV66</f>
        <v>100</v>
      </c>
      <c r="AN66" s="121">
        <f>(Datasheet!CL66-Datasheet!CK66)/Datasheet!CK66</f>
        <v>1.5</v>
      </c>
    </row>
    <row r="67" spans="1:40">
      <c r="A67" s="42" t="s">
        <v>269</v>
      </c>
      <c r="B67" s="42" t="s">
        <v>270</v>
      </c>
      <c r="C67" s="42" t="s">
        <v>271</v>
      </c>
      <c r="D67" s="116">
        <f>Datasheet!G67/Datasheet!E67</f>
        <v>0.88197766307686654</v>
      </c>
      <c r="E67" s="116">
        <f>Datasheet!I67/Datasheet!E67</f>
        <v>0.11802233692313346</v>
      </c>
      <c r="F67" s="116">
        <f>(Datasheet!E67-Datasheet!D67)/Datasheet!D67</f>
        <v>5.2612088786699679E-2</v>
      </c>
      <c r="G67" s="116">
        <f>(Datasheet!G67-Datasheet!F67)/Datasheet!F67</f>
        <v>3.8897582276210561E-2</v>
      </c>
      <c r="H67" s="116">
        <f>(Datasheet!I67-Datasheet!H67)/Datasheet!H67</f>
        <v>0.16781836130306022</v>
      </c>
      <c r="I67" s="116">
        <f>(Datasheet!K67-Datasheet!J67)/Datasheet!J67</f>
        <v>4.4541484716157202E-2</v>
      </c>
      <c r="J67" s="116">
        <f>Datasheet!F67/Datasheet!D67</f>
        <v>0.8936206667845773</v>
      </c>
      <c r="K67" s="116">
        <f>Datasheet!H67/Datasheet!D67</f>
        <v>0.10637933321542271</v>
      </c>
      <c r="L67" s="116">
        <f>Datasheet!R67/Datasheet!Q67</f>
        <v>0.90370370370370368</v>
      </c>
      <c r="M67" s="117">
        <f>(Datasheet!AB67-Datasheet!AA67)/Datasheet!AA67</f>
        <v>0</v>
      </c>
      <c r="N67" s="118">
        <f>Datasheet!AC67/Datasheet!E67</f>
        <v>1.6960099135192468E-2</v>
      </c>
      <c r="O67" s="111">
        <f>SUM(Datasheet!AD67:AG67)</f>
        <v>1130</v>
      </c>
      <c r="P67" s="111">
        <f>SUM(Datasheet!AH67:AK67)</f>
        <v>1295</v>
      </c>
      <c r="Q67" s="111">
        <f t="shared" si="0"/>
        <v>2425</v>
      </c>
      <c r="R67" s="118">
        <f>Q67/Datasheet!AC67</f>
        <v>0.75077399380804954</v>
      </c>
      <c r="S67" s="118">
        <f>Datasheet!AL67/Datasheet!G67</f>
        <v>7.8287789486217781E-3</v>
      </c>
      <c r="T67" s="118">
        <f>Datasheet!AM67/Datasheet!I67</f>
        <v>8.5198202607109488E-2</v>
      </c>
      <c r="U67" s="119">
        <f>O67/Datasheet!AL67</f>
        <v>0.85931558935361219</v>
      </c>
      <c r="V67" s="119">
        <f>P67/Datasheet!AM67</f>
        <v>0.67624020887728464</v>
      </c>
      <c r="W67" s="120">
        <f>((Datasheet!AP67-Datasheet!AO67)/Datasheet!AO67)*100</f>
        <v>12.684469694130698</v>
      </c>
      <c r="X67" s="119">
        <f>Datasheet!AQ67/Datasheet!AR67</f>
        <v>0.4995556656274584</v>
      </c>
      <c r="Y67" s="111">
        <f>Datasheet!AV67+Datasheet!AS67</f>
        <v>73021</v>
      </c>
      <c r="Z67" s="117">
        <f>Datasheet!AW67/(Datasheet!AS67+Datasheet!AV67)</f>
        <v>0.51845359554100878</v>
      </c>
      <c r="AA67" s="111">
        <f>Datasheet!AX67+Datasheet!AT67</f>
        <v>40570</v>
      </c>
      <c r="AB67" s="119">
        <f>Datasheet!AY67/(Datasheet!AT67+Datasheet!AX67)</f>
        <v>0.76761153561745132</v>
      </c>
      <c r="AC67" s="119">
        <f>Datasheet!AU67/(Datasheet!AU67+Datasheet!AZ67)</f>
        <v>0.94876001157965839</v>
      </c>
      <c r="AD67" s="119">
        <f>Datasheet!AZ67/(Datasheet!AU67+Datasheet!AZ67)</f>
        <v>5.1239988420341602E-2</v>
      </c>
      <c r="AE67" s="117">
        <f>(Datasheet!BB67-Datasheet!BA67)/Datasheet!BA67</f>
        <v>2.7779706235309287E-2</v>
      </c>
      <c r="AF67" s="118">
        <f>(Datasheet!AX67+Datasheet!AT67)/Datasheet!BB67</f>
        <v>0.39148895107594328</v>
      </c>
      <c r="AG67" s="111">
        <f>(Datasheet!AP67*1000)/Datasheet!E67</f>
        <v>789.44273209869414</v>
      </c>
      <c r="AH67" s="119">
        <f>Datasheet!BW67/SUM(Datasheet!$BW67:$BZ67)</f>
        <v>0.7245283018867924</v>
      </c>
      <c r="AI67" s="119">
        <f>Datasheet!BX67/SUM(Datasheet!$BW67:$BZ67)</f>
        <v>9.8113207547169817E-2</v>
      </c>
      <c r="AJ67" s="119">
        <f>Datasheet!BY67/SUM(Datasheet!$BW67:$BZ67)</f>
        <v>4.1509433962264149E-2</v>
      </c>
      <c r="AK67" s="119">
        <f>Datasheet!BZ67/SUM(Datasheet!$BW67:$BZ67)</f>
        <v>0.13584905660377358</v>
      </c>
      <c r="AL67" s="31">
        <f>Datasheet!BR67+Datasheet!BS67</f>
        <v>38</v>
      </c>
      <c r="AM67" s="31">
        <f>100-Datasheet!BV67</f>
        <v>77</v>
      </c>
      <c r="AN67" s="121">
        <f>(Datasheet!CL67-Datasheet!CK67)/Datasheet!CK67</f>
        <v>-3.1645569620253167E-2</v>
      </c>
    </row>
    <row r="68" spans="1:40">
      <c r="A68" s="42" t="s">
        <v>272</v>
      </c>
      <c r="B68" s="42" t="s">
        <v>273</v>
      </c>
      <c r="C68" s="42" t="s">
        <v>274</v>
      </c>
      <c r="D68" s="116">
        <f>Datasheet!G68/Datasheet!E68</f>
        <v>0.81219463436088124</v>
      </c>
      <c r="E68" s="116">
        <f>Datasheet!I68/Datasheet!E68</f>
        <v>0.18780536563911879</v>
      </c>
      <c r="F68" s="116">
        <f>(Datasheet!E68-Datasheet!D68)/Datasheet!D68</f>
        <v>-3.9051153784089077E-2</v>
      </c>
      <c r="G68" s="116">
        <f>(Datasheet!G68-Datasheet!F68)/Datasheet!F68</f>
        <v>-7.1963086481794503E-2</v>
      </c>
      <c r="H68" s="116">
        <f>(Datasheet!I68-Datasheet!H68)/Datasheet!H68</f>
        <v>0.13502803015658224</v>
      </c>
      <c r="I68" s="116">
        <f>(Datasheet!K68-Datasheet!J68)/Datasheet!J68</f>
        <v>9.4268476621417796E-2</v>
      </c>
      <c r="J68" s="116">
        <f>Datasheet!F68/Datasheet!D68</f>
        <v>0.84099833252649137</v>
      </c>
      <c r="K68" s="116">
        <f>Datasheet!H68/Datasheet!D68</f>
        <v>0.15900166747350869</v>
      </c>
      <c r="L68" s="116">
        <f>Datasheet!R68/Datasheet!Q68</f>
        <v>0.84615384615384615</v>
      </c>
      <c r="M68" s="117">
        <f>(Datasheet!AB68-Datasheet!AA68)/Datasheet!AA68</f>
        <v>0</v>
      </c>
      <c r="N68" s="118">
        <f>Datasheet!AC68/Datasheet!E68</f>
        <v>1.7112470512974293E-2</v>
      </c>
      <c r="O68" s="111">
        <f>SUM(Datasheet!AD68:AG68)</f>
        <v>675</v>
      </c>
      <c r="P68" s="111">
        <f>SUM(Datasheet!AH68:AK68)</f>
        <v>1065</v>
      </c>
      <c r="Q68" s="111">
        <f t="shared" si="0"/>
        <v>1740</v>
      </c>
      <c r="R68" s="118">
        <f>Q68/Datasheet!AC68</f>
        <v>0.81308411214953269</v>
      </c>
      <c r="S68" s="118">
        <f>Datasheet!AL68/Datasheet!G68</f>
        <v>7.4333704181393928E-3</v>
      </c>
      <c r="T68" s="118">
        <f>Datasheet!AM68/Datasheet!I68</f>
        <v>5.897130205228647E-2</v>
      </c>
      <c r="U68" s="119">
        <f>O68/Datasheet!AL68</f>
        <v>0.89403973509933776</v>
      </c>
      <c r="V68" s="119">
        <f>P68/Datasheet!AM68</f>
        <v>0.76895306859205781</v>
      </c>
      <c r="W68" s="120">
        <f>((Datasheet!AP68-Datasheet!AO68)/Datasheet!AO68)*100</f>
        <v>2.949103057185368</v>
      </c>
      <c r="X68" s="119">
        <f>Datasheet!AQ68/Datasheet!AR68</f>
        <v>0.35030110540841758</v>
      </c>
      <c r="Y68" s="111">
        <f>Datasheet!AV68+Datasheet!AS68</f>
        <v>25744</v>
      </c>
      <c r="Z68" s="117">
        <f>Datasheet!AW68/(Datasheet!AS68+Datasheet!AV68)</f>
        <v>0.51103169670602855</v>
      </c>
      <c r="AA68" s="111">
        <f>Datasheet!AX68+Datasheet!AT68</f>
        <v>37074</v>
      </c>
      <c r="AB68" s="119">
        <f>Datasheet!AY68/(Datasheet!AT68+Datasheet!AX68)</f>
        <v>0.56902411393429353</v>
      </c>
      <c r="AC68" s="119">
        <f>Datasheet!AU68/(Datasheet!AU68+Datasheet!AZ68)</f>
        <v>0.9852535832414554</v>
      </c>
      <c r="AD68" s="119">
        <f>Datasheet!AZ68/(Datasheet!AU68+Datasheet!AZ68)</f>
        <v>1.4746416758544652E-2</v>
      </c>
      <c r="AE68" s="117">
        <f>(Datasheet!BB68-Datasheet!BA68)/Datasheet!BA68</f>
        <v>0.36954111124218475</v>
      </c>
      <c r="AF68" s="118">
        <f>(Datasheet!AX68+Datasheet!AT68)/Datasheet!BB68</f>
        <v>0.63867833517089301</v>
      </c>
      <c r="AG68" s="111">
        <f>(Datasheet!AP68*1000)/Datasheet!E68</f>
        <v>586.48594618367918</v>
      </c>
      <c r="AH68" s="119">
        <f>Datasheet!BW68/SUM(Datasheet!$BW68:$BZ68)</f>
        <v>0.68686868686868685</v>
      </c>
      <c r="AI68" s="119">
        <f>Datasheet!BX68/SUM(Datasheet!$BW68:$BZ68)</f>
        <v>0.10101010101010101</v>
      </c>
      <c r="AJ68" s="119">
        <f>Datasheet!BY68/SUM(Datasheet!$BW68:$BZ68)</f>
        <v>8.0808080808080815E-2</v>
      </c>
      <c r="AK68" s="119">
        <f>Datasheet!BZ68/SUM(Datasheet!$BW68:$BZ68)</f>
        <v>0.13131313131313133</v>
      </c>
      <c r="AL68" s="31">
        <f>Datasheet!BR68+Datasheet!BS68</f>
        <v>31</v>
      </c>
      <c r="AM68" s="31">
        <f>100-Datasheet!BV68</f>
        <v>80</v>
      </c>
      <c r="AN68" s="121">
        <f>(Datasheet!CL68-Datasheet!CK68)/Datasheet!CK68</f>
        <v>-6.6326530612244902E-2</v>
      </c>
    </row>
    <row r="69" spans="1:40">
      <c r="A69" s="42" t="s">
        <v>275</v>
      </c>
      <c r="B69" s="42" t="s">
        <v>276</v>
      </c>
      <c r="C69" s="42" t="s">
        <v>277</v>
      </c>
      <c r="D69" s="116">
        <f>Datasheet!G69/Datasheet!E69</f>
        <v>0.73614304804092101</v>
      </c>
      <c r="E69" s="116">
        <f>Datasheet!I69/Datasheet!E69</f>
        <v>0.26385695195907899</v>
      </c>
      <c r="F69" s="116">
        <f>(Datasheet!E69-Datasheet!D69)/Datasheet!D69</f>
        <v>9.149939877605584E-2</v>
      </c>
      <c r="G69" s="116">
        <f>(Datasheet!G69-Datasheet!F69)/Datasheet!F69</f>
        <v>7.237386964858665E-2</v>
      </c>
      <c r="H69" s="116">
        <f>(Datasheet!I69-Datasheet!H69)/Datasheet!H69</f>
        <v>0.14865385323835456</v>
      </c>
      <c r="I69" s="116">
        <f>(Datasheet!K69-Datasheet!J69)/Datasheet!J69</f>
        <v>0.18203115264797506</v>
      </c>
      <c r="J69" s="116">
        <f>Datasheet!F69/Datasheet!D69</f>
        <v>0.74927198162068476</v>
      </c>
      <c r="K69" s="116">
        <f>Datasheet!H69/Datasheet!D69</f>
        <v>0.25072801837931519</v>
      </c>
      <c r="L69" s="116">
        <f>Datasheet!R69/Datasheet!Q69</f>
        <v>0.89258028792912514</v>
      </c>
      <c r="M69" s="117">
        <f>(Datasheet!AB69-Datasheet!AA69)/Datasheet!AA69</f>
        <v>3.7499999999999999E-2</v>
      </c>
      <c r="N69" s="118">
        <f>Datasheet!AC69/Datasheet!E69</f>
        <v>1.5970815565544579E-2</v>
      </c>
      <c r="O69" s="111">
        <f>SUM(Datasheet!AD69:AG69)</f>
        <v>6810</v>
      </c>
      <c r="P69" s="111">
        <f>SUM(Datasheet!AH69:AK69)</f>
        <v>6965</v>
      </c>
      <c r="Q69" s="111">
        <f t="shared" si="0"/>
        <v>13775</v>
      </c>
      <c r="R69" s="118">
        <f>Q69/Datasheet!AC69</f>
        <v>0.66353564547206167</v>
      </c>
      <c r="S69" s="118">
        <f>Datasheet!AL69/Datasheet!G69</f>
        <v>8.4596887210769047E-3</v>
      </c>
      <c r="T69" s="118">
        <f>Datasheet!AM69/Datasheet!I69</f>
        <v>3.6926351390751649E-2</v>
      </c>
      <c r="U69" s="119">
        <f>O69/Datasheet!AL69</f>
        <v>0.84126003705991348</v>
      </c>
      <c r="V69" s="119">
        <f>P69/Datasheet!AM69</f>
        <v>0.54994078168180027</v>
      </c>
      <c r="W69" s="120">
        <f>((Datasheet!AP69-Datasheet!AO69)/Datasheet!AO69)*100</f>
        <v>10.117922785384753</v>
      </c>
      <c r="X69" s="119">
        <f>Datasheet!AQ69/Datasheet!AR69</f>
        <v>0.59395106666458375</v>
      </c>
      <c r="Y69" s="111">
        <f>Datasheet!AV69+Datasheet!AS69</f>
        <v>406101</v>
      </c>
      <c r="Z69" s="117">
        <f>Datasheet!AW69/(Datasheet!AS69+Datasheet!AV69)</f>
        <v>0.63647959497760409</v>
      </c>
      <c r="AA69" s="111">
        <f>Datasheet!AX69+Datasheet!AT69</f>
        <v>388788</v>
      </c>
      <c r="AB69" s="119">
        <f>Datasheet!AY69/(Datasheet!AT69+Datasheet!AX69)</f>
        <v>0.70521981131104872</v>
      </c>
      <c r="AC69" s="119">
        <f>Datasheet!AU69/(Datasheet!AU69+Datasheet!AZ69)</f>
        <v>0.9344380503942894</v>
      </c>
      <c r="AD69" s="119">
        <f>Datasheet!AZ69/(Datasheet!AU69+Datasheet!AZ69)</f>
        <v>6.5561949605710573E-2</v>
      </c>
      <c r="AE69" s="117">
        <f>(Datasheet!BB69-Datasheet!BA69)/Datasheet!BA69</f>
        <v>9.4543206295654561E-2</v>
      </c>
      <c r="AF69" s="118">
        <f>(Datasheet!AX69+Datasheet!AT69)/Datasheet!BB69</f>
        <v>0.54225326575414301</v>
      </c>
      <c r="AG69" s="111">
        <f>(Datasheet!AP69*1000)/Datasheet!E69</f>
        <v>722.19704878407163</v>
      </c>
      <c r="AH69" s="119">
        <f>Datasheet!BW69/SUM(Datasheet!$BW69:$BZ69)</f>
        <v>0.73170731707317072</v>
      </c>
      <c r="AI69" s="119">
        <f>Datasheet!BX69/SUM(Datasheet!$BW69:$BZ69)</f>
        <v>8.0487804878048783E-2</v>
      </c>
      <c r="AJ69" s="119">
        <f>Datasheet!BY69/SUM(Datasheet!$BW69:$BZ69)</f>
        <v>4.3902439024390241E-2</v>
      </c>
      <c r="AK69" s="119">
        <f>Datasheet!BZ69/SUM(Datasheet!$BW69:$BZ69)</f>
        <v>0.14390243902439023</v>
      </c>
      <c r="AL69" s="31">
        <f>Datasheet!BR69+Datasheet!BS69</f>
        <v>34</v>
      </c>
      <c r="AM69" s="31">
        <f>100-Datasheet!BV69</f>
        <v>39</v>
      </c>
      <c r="AN69" s="121">
        <f>(Datasheet!CL69-Datasheet!CK69)/Datasheet!CK69</f>
        <v>-0.18143459915611815</v>
      </c>
    </row>
    <row r="70" spans="1:40">
      <c r="A70" s="42" t="s">
        <v>278</v>
      </c>
      <c r="B70" s="42" t="s">
        <v>279</v>
      </c>
      <c r="C70" s="42" t="s">
        <v>280</v>
      </c>
      <c r="D70" s="116">
        <f>Datasheet!G70/Datasheet!E70</f>
        <v>0.79615626969124131</v>
      </c>
      <c r="E70" s="116">
        <f>Datasheet!I70/Datasheet!E70</f>
        <v>0.20384373030875866</v>
      </c>
      <c r="F70" s="116">
        <f>(Datasheet!E70-Datasheet!D70)/Datasheet!D70</f>
        <v>3.1284098018011026E-2</v>
      </c>
      <c r="G70" s="116">
        <f>(Datasheet!G70-Datasheet!F70)/Datasheet!F70</f>
        <v>8.6682474054833366E-3</v>
      </c>
      <c r="H70" s="116">
        <f>(Datasheet!I70-Datasheet!H70)/Datasheet!H70</f>
        <v>0.13026360389017808</v>
      </c>
      <c r="I70" s="116">
        <f>(Datasheet!K70-Datasheet!J70)/Datasheet!J70</f>
        <v>3.7115141290594685E-2</v>
      </c>
      <c r="J70" s="116">
        <f>Datasheet!F70/Datasheet!D70</f>
        <v>0.81400728394283417</v>
      </c>
      <c r="K70" s="116">
        <f>Datasheet!H70/Datasheet!D70</f>
        <v>0.18599271605716586</v>
      </c>
      <c r="L70" s="116">
        <f>Datasheet!R70/Datasheet!Q70</f>
        <v>0.87058823529411766</v>
      </c>
      <c r="M70" s="117">
        <f>(Datasheet!AB70-Datasheet!AA70)/Datasheet!AA70</f>
        <v>-1.8851380973257344E-2</v>
      </c>
      <c r="N70" s="118">
        <f>Datasheet!AC70/Datasheet!E70</f>
        <v>2.1419368187418297E-2</v>
      </c>
      <c r="O70" s="111">
        <f>SUM(Datasheet!AD70:AG70)</f>
        <v>1370</v>
      </c>
      <c r="P70" s="111">
        <f>SUM(Datasheet!AH70:AK70)</f>
        <v>1415</v>
      </c>
      <c r="Q70" s="111">
        <f t="shared" si="0"/>
        <v>2785</v>
      </c>
      <c r="R70" s="118">
        <f>Q70/Datasheet!AC70</f>
        <v>0.61141602634467618</v>
      </c>
      <c r="S70" s="118">
        <f>Datasheet!AL70/Datasheet!G70</f>
        <v>1.0158940162661169E-2</v>
      </c>
      <c r="T70" s="118">
        <f>Datasheet!AM70/Datasheet!I70</f>
        <v>6.5399432512860733E-2</v>
      </c>
      <c r="U70" s="119">
        <f>O70/Datasheet!AL70</f>
        <v>0.79651162790697672</v>
      </c>
      <c r="V70" s="119">
        <f>P70/Datasheet!AM70</f>
        <v>0.49911816578483242</v>
      </c>
      <c r="W70" s="120">
        <f>((Datasheet!AP70-Datasheet!AO70)/Datasheet!AO70)*100</f>
        <v>9.5945656338686742</v>
      </c>
      <c r="X70" s="119">
        <f>Datasheet!AQ70/Datasheet!AR70</f>
        <v>0.49514163759106045</v>
      </c>
      <c r="Y70" s="111">
        <f>Datasheet!AV70+Datasheet!AS70</f>
        <v>67751</v>
      </c>
      <c r="Z70" s="117">
        <f>Datasheet!AW70/(Datasheet!AS70+Datasheet!AV70)</f>
        <v>0.42572065356968902</v>
      </c>
      <c r="AA70" s="111">
        <f>Datasheet!AX70+Datasheet!AT70</f>
        <v>79569</v>
      </c>
      <c r="AB70" s="119">
        <f>Datasheet!AY70/(Datasheet!AT70+Datasheet!AX70)</f>
        <v>0.637421608918046</v>
      </c>
      <c r="AC70" s="119">
        <f>Datasheet!AU70/(Datasheet!AU70+Datasheet!AZ70)</f>
        <v>0.91882993445564731</v>
      </c>
      <c r="AD70" s="119">
        <f>Datasheet!AZ70/(Datasheet!AU70+Datasheet!AZ70)</f>
        <v>8.1170065544352688E-2</v>
      </c>
      <c r="AE70" s="117">
        <f>(Datasheet!BB70-Datasheet!BA70)/Datasheet!BA70</f>
        <v>0.10193719207695144</v>
      </c>
      <c r="AF70" s="118">
        <f>(Datasheet!AX70+Datasheet!AT70)/Datasheet!BB70</f>
        <v>0.60502303937223412</v>
      </c>
      <c r="AG70" s="111">
        <f>(Datasheet!AP70*1000)/Datasheet!E70</f>
        <v>793.56055262440157</v>
      </c>
      <c r="AH70" s="119">
        <f>Datasheet!BW70/SUM(Datasheet!$BW70:$BZ70)</f>
        <v>0.743859649122807</v>
      </c>
      <c r="AI70" s="119">
        <f>Datasheet!BX70/SUM(Datasheet!$BW70:$BZ70)</f>
        <v>7.7192982456140355E-2</v>
      </c>
      <c r="AJ70" s="119">
        <f>Datasheet!BY70/SUM(Datasheet!$BW70:$BZ70)</f>
        <v>3.8596491228070177E-2</v>
      </c>
      <c r="AK70" s="119">
        <f>Datasheet!BZ70/SUM(Datasheet!$BW70:$BZ70)</f>
        <v>0.14035087719298245</v>
      </c>
      <c r="AL70" s="31">
        <f>Datasheet!BR70+Datasheet!BS70</f>
        <v>16</v>
      </c>
      <c r="AM70" s="31">
        <f>100-Datasheet!BV70</f>
        <v>21</v>
      </c>
      <c r="AN70" s="121">
        <f>(Datasheet!CL70-Datasheet!CK70)/Datasheet!CK70</f>
        <v>5.4200542005420058E-2</v>
      </c>
    </row>
    <row r="71" spans="1:40">
      <c r="A71" s="42" t="s">
        <v>281</v>
      </c>
      <c r="B71" s="42" t="s">
        <v>282</v>
      </c>
      <c r="C71" s="42" t="s">
        <v>283</v>
      </c>
      <c r="D71" s="116">
        <f>Datasheet!G71/Datasheet!E71</f>
        <v>0.80544166977264253</v>
      </c>
      <c r="E71" s="116">
        <f>Datasheet!I71/Datasheet!E71</f>
        <v>0.19455833022735744</v>
      </c>
      <c r="F71" s="116">
        <f>(Datasheet!E71-Datasheet!D71)/Datasheet!D71</f>
        <v>4.0483921252537851E-2</v>
      </c>
      <c r="G71" s="116">
        <f>(Datasheet!G71-Datasheet!F71)/Datasheet!F71</f>
        <v>1.131421020756483E-2</v>
      </c>
      <c r="H71" s="116">
        <f>(Datasheet!I71-Datasheet!H71)/Datasheet!H71</f>
        <v>0.18157205627801695</v>
      </c>
      <c r="I71" s="116">
        <f>(Datasheet!K71-Datasheet!J71)/Datasheet!J71</f>
        <v>0.14213197969543148</v>
      </c>
      <c r="J71" s="116">
        <f>Datasheet!F71/Datasheet!D71</f>
        <v>0.82867332273836769</v>
      </c>
      <c r="K71" s="116">
        <f>Datasheet!H71/Datasheet!D71</f>
        <v>0.17132667726163228</v>
      </c>
      <c r="L71" s="116">
        <f>Datasheet!R71/Datasheet!Q71</f>
        <v>0.87012987012987009</v>
      </c>
      <c r="M71" s="117">
        <f>(Datasheet!AB71-Datasheet!AA71)/Datasheet!AA71</f>
        <v>0.17195571955719557</v>
      </c>
      <c r="N71" s="118">
        <f>Datasheet!AC71/Datasheet!E71</f>
        <v>1.4616357165303691E-2</v>
      </c>
      <c r="O71" s="111">
        <f>SUM(Datasheet!AD71:AG71)</f>
        <v>610</v>
      </c>
      <c r="P71" s="111">
        <f>SUM(Datasheet!AH71:AK71)</f>
        <v>835</v>
      </c>
      <c r="Q71" s="111">
        <f t="shared" si="0"/>
        <v>1445</v>
      </c>
      <c r="R71" s="118">
        <f>Q71/Datasheet!AC71</f>
        <v>0.72250000000000003</v>
      </c>
      <c r="S71" s="118">
        <f>Datasheet!AL71/Datasheet!G71</f>
        <v>6.7143933001243073E-3</v>
      </c>
      <c r="T71" s="118">
        <f>Datasheet!AM71/Datasheet!I71</f>
        <v>4.7329276538201487E-2</v>
      </c>
      <c r="U71" s="119">
        <f>O71/Datasheet!AL71</f>
        <v>0.82432432432432434</v>
      </c>
      <c r="V71" s="119">
        <f>P71/Datasheet!AM71</f>
        <v>0.66269841269841268</v>
      </c>
      <c r="W71" s="120">
        <f>((Datasheet!AP71-Datasheet!AO71)/Datasheet!AO71)*100</f>
        <v>13.517988069271805</v>
      </c>
      <c r="X71" s="119">
        <f>Datasheet!AQ71/Datasheet!AR71</f>
        <v>0.41845642881785067</v>
      </c>
      <c r="Y71" s="111">
        <f>Datasheet!AV71+Datasheet!AS71</f>
        <v>36034</v>
      </c>
      <c r="Z71" s="117">
        <f>Datasheet!AW71/(Datasheet!AS71+Datasheet!AV71)</f>
        <v>0.63162568685130704</v>
      </c>
      <c r="AA71" s="111">
        <f>Datasheet!AX71+Datasheet!AT71</f>
        <v>28127</v>
      </c>
      <c r="AB71" s="119">
        <f>Datasheet!AY71/(Datasheet!AT71+Datasheet!AX71)</f>
        <v>0.56305329398798309</v>
      </c>
      <c r="AC71" s="119">
        <f>Datasheet!AU71/(Datasheet!AU71+Datasheet!AZ71)</f>
        <v>0.99034496976360642</v>
      </c>
      <c r="AD71" s="119">
        <f>Datasheet!AZ71/(Datasheet!AU71+Datasheet!AZ71)</f>
        <v>9.6550302363936236E-3</v>
      </c>
      <c r="AE71" s="117">
        <f>(Datasheet!BB71-Datasheet!BA71)/Datasheet!BA71</f>
        <v>0.15434804164600893</v>
      </c>
      <c r="AF71" s="118">
        <f>(Datasheet!AX71+Datasheet!AT71)/Datasheet!BB71</f>
        <v>0.48321536558548656</v>
      </c>
      <c r="AG71" s="111">
        <f>(Datasheet!AP71*1000)/Datasheet!E71</f>
        <v>631.38278046962353</v>
      </c>
      <c r="AH71" s="119">
        <f>Datasheet!BW71/SUM(Datasheet!$BW71:$BZ71)</f>
        <v>0.73885350318471332</v>
      </c>
      <c r="AI71" s="119">
        <f>Datasheet!BX71/SUM(Datasheet!$BW71:$BZ71)</f>
        <v>7.6433121019108277E-2</v>
      </c>
      <c r="AJ71" s="119">
        <f>Datasheet!BY71/SUM(Datasheet!$BW71:$BZ71)</f>
        <v>4.4585987261146494E-2</v>
      </c>
      <c r="AK71" s="119">
        <f>Datasheet!BZ71/SUM(Datasheet!$BW71:$BZ71)</f>
        <v>0.14012738853503184</v>
      </c>
      <c r="AL71" s="31">
        <f>Datasheet!BR71+Datasheet!BS71</f>
        <v>39</v>
      </c>
      <c r="AM71" s="31">
        <f>100-Datasheet!BV71</f>
        <v>52</v>
      </c>
      <c r="AN71" s="121">
        <f>(Datasheet!CL71-Datasheet!CK71)/Datasheet!CK71</f>
        <v>0.31506849315068491</v>
      </c>
    </row>
    <row r="72" spans="1:40">
      <c r="A72" s="42" t="s">
        <v>284</v>
      </c>
      <c r="B72" s="42" t="s">
        <v>285</v>
      </c>
      <c r="C72" s="42" t="s">
        <v>286</v>
      </c>
      <c r="D72" s="116">
        <f>Datasheet!G72/Datasheet!E72</f>
        <v>0.76281914863022759</v>
      </c>
      <c r="E72" s="116">
        <f>Datasheet!I72/Datasheet!E72</f>
        <v>0.23718085136977241</v>
      </c>
      <c r="F72" s="116">
        <f>(Datasheet!E72-Datasheet!D72)/Datasheet!D72</f>
        <v>4.4928794876957424E-2</v>
      </c>
      <c r="G72" s="116">
        <f>(Datasheet!G72-Datasheet!F72)/Datasheet!F72</f>
        <v>1.8617440025191917E-2</v>
      </c>
      <c r="H72" s="116">
        <f>(Datasheet!I72-Datasheet!H72)/Datasheet!H72</f>
        <v>0.1396020450462899</v>
      </c>
      <c r="I72" s="116">
        <f>(Datasheet!K72-Datasheet!J72)/Datasheet!J72</f>
        <v>0.20594675579117205</v>
      </c>
      <c r="J72" s="116">
        <f>Datasheet!F72/Datasheet!D72</f>
        <v>0.78252311649753137</v>
      </c>
      <c r="K72" s="116">
        <f>Datasheet!H72/Datasheet!D72</f>
        <v>0.21747688350246866</v>
      </c>
      <c r="L72" s="116">
        <f>Datasheet!R72/Datasheet!Q72</f>
        <v>0.89723320158102771</v>
      </c>
      <c r="M72" s="117">
        <f>(Datasheet!AB72-Datasheet!AA72)/Datasheet!AA72</f>
        <v>3.2503660322108344E-2</v>
      </c>
      <c r="N72" s="118">
        <f>Datasheet!AC72/Datasheet!E72</f>
        <v>1.7312680819735304E-2</v>
      </c>
      <c r="O72" s="111">
        <f>SUM(Datasheet!AD72:AG72)</f>
        <v>1790</v>
      </c>
      <c r="P72" s="111">
        <f>SUM(Datasheet!AH72:AK72)</f>
        <v>2280</v>
      </c>
      <c r="Q72" s="111">
        <f t="shared" ref="Q72:Q135" si="1">O72+P72</f>
        <v>4070</v>
      </c>
      <c r="R72" s="118">
        <f>Q72/Datasheet!AC72</f>
        <v>0.67607973421926915</v>
      </c>
      <c r="S72" s="118">
        <f>Datasheet!AL72/Datasheet!G72</f>
        <v>8.5202960237361867E-3</v>
      </c>
      <c r="T72" s="118">
        <f>Datasheet!AM72/Datasheet!I72</f>
        <v>4.5590678161337647E-2</v>
      </c>
      <c r="U72" s="119">
        <f>O72/Datasheet!AL72</f>
        <v>0.79203539823008851</v>
      </c>
      <c r="V72" s="119">
        <f>P72/Datasheet!AM72</f>
        <v>0.6063829787234043</v>
      </c>
      <c r="W72" s="120">
        <f>((Datasheet!AP72-Datasheet!AO72)/Datasheet!AO72)*100</f>
        <v>7.5880055711827836</v>
      </c>
      <c r="X72" s="119">
        <f>Datasheet!AQ72/Datasheet!AR72</f>
        <v>0.52469921272875863</v>
      </c>
      <c r="Y72" s="111">
        <f>Datasheet!AV72+Datasheet!AS72</f>
        <v>96935</v>
      </c>
      <c r="Z72" s="117">
        <f>Datasheet!AW72/(Datasheet!AS72+Datasheet!AV72)</f>
        <v>0.62203538453602925</v>
      </c>
      <c r="AA72" s="111">
        <f>Datasheet!AX72+Datasheet!AT72</f>
        <v>95814</v>
      </c>
      <c r="AB72" s="119">
        <f>Datasheet!AY72/(Datasheet!AT72+Datasheet!AX72)</f>
        <v>0.5692696265681424</v>
      </c>
      <c r="AC72" s="119">
        <f>Datasheet!AU72/(Datasheet!AU72+Datasheet!AZ72)</f>
        <v>0.92663530023101215</v>
      </c>
      <c r="AD72" s="119">
        <f>Datasheet!AZ72/(Datasheet!AU72+Datasheet!AZ72)</f>
        <v>7.3364699768987893E-2</v>
      </c>
      <c r="AE72" s="117">
        <f>(Datasheet!BB72-Datasheet!BA72)/Datasheet!BA72</f>
        <v>4.7398467772946429E-2</v>
      </c>
      <c r="AF72" s="118">
        <f>(Datasheet!AX72+Datasheet!AT72)/Datasheet!BB72</f>
        <v>0.54117833117759695</v>
      </c>
      <c r="AG72" s="111">
        <f>(Datasheet!AP72*1000)/Datasheet!E72</f>
        <v>679.77579790752384</v>
      </c>
      <c r="AH72" s="119">
        <f>Datasheet!BW72/SUM(Datasheet!$BW72:$BZ72)</f>
        <v>0.73631840796019898</v>
      </c>
      <c r="AI72" s="119">
        <f>Datasheet!BX72/SUM(Datasheet!$BW72:$BZ72)</f>
        <v>8.45771144278607E-2</v>
      </c>
      <c r="AJ72" s="119">
        <f>Datasheet!BY72/SUM(Datasheet!$BW72:$BZ72)</f>
        <v>3.9800995024875621E-2</v>
      </c>
      <c r="AK72" s="119">
        <f>Datasheet!BZ72/SUM(Datasheet!$BW72:$BZ72)</f>
        <v>0.13930348258706468</v>
      </c>
      <c r="AL72" s="31">
        <f>Datasheet!BR72+Datasheet!BS72</f>
        <v>18</v>
      </c>
      <c r="AM72" s="31">
        <f>100-Datasheet!BV72</f>
        <v>31</v>
      </c>
      <c r="AN72" s="121">
        <f>(Datasheet!CL72-Datasheet!CK72)/Datasheet!CK72</f>
        <v>-4.8961424332344211E-2</v>
      </c>
    </row>
    <row r="73" spans="1:40">
      <c r="A73" s="42" t="s">
        <v>287</v>
      </c>
      <c r="B73" s="42" t="s">
        <v>288</v>
      </c>
      <c r="C73" s="42" t="s">
        <v>289</v>
      </c>
      <c r="D73" s="116">
        <f>Datasheet!G73/Datasheet!E73</f>
        <v>0.7724925038069671</v>
      </c>
      <c r="E73" s="116">
        <f>Datasheet!I73/Datasheet!E73</f>
        <v>0.22750749619303287</v>
      </c>
      <c r="F73" s="116">
        <f>(Datasheet!E73-Datasheet!D73)/Datasheet!D73</f>
        <v>0.10674045052167039</v>
      </c>
      <c r="G73" s="116">
        <f>(Datasheet!G73-Datasheet!F73)/Datasheet!F73</f>
        <v>8.5336803564338967E-2</v>
      </c>
      <c r="H73" s="116">
        <f>(Datasheet!I73-Datasheet!H73)/Datasheet!H73</f>
        <v>0.18616738285246573</v>
      </c>
      <c r="I73" s="116">
        <f>(Datasheet!K73-Datasheet!J73)/Datasheet!J73</f>
        <v>0.1655320673593694</v>
      </c>
      <c r="J73" s="116">
        <f>Datasheet!F73/Datasheet!D73</f>
        <v>0.78772662907975777</v>
      </c>
      <c r="K73" s="116">
        <f>Datasheet!H73/Datasheet!D73</f>
        <v>0.2122733709202422</v>
      </c>
      <c r="L73" s="116">
        <f>Datasheet!R73/Datasheet!Q73</f>
        <v>0.85616438356164382</v>
      </c>
      <c r="M73" s="117">
        <f>(Datasheet!AB73-Datasheet!AA73)/Datasheet!AA73</f>
        <v>1.2524084778420038E-2</v>
      </c>
      <c r="N73" s="118">
        <f>Datasheet!AC73/Datasheet!E73</f>
        <v>2.9042842116830718E-2</v>
      </c>
      <c r="O73" s="111">
        <f>SUM(Datasheet!AD73:AG73)</f>
        <v>1250</v>
      </c>
      <c r="P73" s="111">
        <f>SUM(Datasheet!AH73:AK73)</f>
        <v>1575</v>
      </c>
      <c r="Q73" s="111">
        <f t="shared" si="1"/>
        <v>2825</v>
      </c>
      <c r="R73" s="118">
        <f>Q73/Datasheet!AC73</f>
        <v>0.76351351351351349</v>
      </c>
      <c r="S73" s="118">
        <f>Datasheet!AL73/Datasheet!G73</f>
        <v>1.3717560509683582E-2</v>
      </c>
      <c r="T73" s="118">
        <f>Datasheet!AM73/Datasheet!I73</f>
        <v>8.1079216119238198E-2</v>
      </c>
      <c r="U73" s="119">
        <f>O73/Datasheet!AL73</f>
        <v>0.92592592592592593</v>
      </c>
      <c r="V73" s="119">
        <f>P73/Datasheet!AM73</f>
        <v>0.67021276595744683</v>
      </c>
      <c r="W73" s="120">
        <f>((Datasheet!AP73-Datasheet!AO73)/Datasheet!AO73)*100</f>
        <v>6.5719136632598163</v>
      </c>
      <c r="X73" s="119">
        <f>Datasheet!AQ73/Datasheet!AR73</f>
        <v>0.44862892232482809</v>
      </c>
      <c r="Y73" s="111">
        <f>Datasheet!AV73+Datasheet!AS73</f>
        <v>56941</v>
      </c>
      <c r="Z73" s="117">
        <f>Datasheet!AW73/(Datasheet!AS73+Datasheet!AV73)</f>
        <v>0.68244323071249191</v>
      </c>
      <c r="AA73" s="111">
        <f>Datasheet!AX73+Datasheet!AT73</f>
        <v>47069</v>
      </c>
      <c r="AB73" s="119">
        <f>Datasheet!AY73/(Datasheet!AT73+Datasheet!AX73)</f>
        <v>0.59665597314580721</v>
      </c>
      <c r="AC73" s="119">
        <f>Datasheet!AU73/(Datasheet!AU73+Datasheet!AZ73)</f>
        <v>0.95302311642950888</v>
      </c>
      <c r="AD73" s="119">
        <f>Datasheet!AZ73/(Datasheet!AU73+Datasheet!AZ73)</f>
        <v>4.6976883570491158E-2</v>
      </c>
      <c r="AE73" s="117">
        <f>(Datasheet!BB73-Datasheet!BA73)/Datasheet!BA73</f>
        <v>0.13564990846359667</v>
      </c>
      <c r="AF73" s="118">
        <f>(Datasheet!AX73+Datasheet!AT73)/Datasheet!BB73</f>
        <v>0.48639571772535162</v>
      </c>
      <c r="AG73" s="111">
        <f>(Datasheet!AP73*1000)/Datasheet!E73</f>
        <v>995.2668016766354</v>
      </c>
      <c r="AH73" s="119">
        <f>Datasheet!BW73/SUM(Datasheet!$BW73:$BZ73)</f>
        <v>0.74358974358974361</v>
      </c>
      <c r="AI73" s="119">
        <f>Datasheet!BX73/SUM(Datasheet!$BW73:$BZ73)</f>
        <v>9.6153846153846159E-2</v>
      </c>
      <c r="AJ73" s="119">
        <f>Datasheet!BY73/SUM(Datasheet!$BW73:$BZ73)</f>
        <v>3.8461538461538464E-2</v>
      </c>
      <c r="AK73" s="119">
        <f>Datasheet!BZ73/SUM(Datasheet!$BW73:$BZ73)</f>
        <v>0.12179487179487179</v>
      </c>
      <c r="AL73" s="31">
        <f>Datasheet!BR73+Datasheet!BS73</f>
        <v>6</v>
      </c>
      <c r="AM73" s="31">
        <f>100-Datasheet!BV73</f>
        <v>11</v>
      </c>
      <c r="AN73" s="121">
        <f>(Datasheet!CL73-Datasheet!CK73)/Datasheet!CK73</f>
        <v>1.3435700575815739E-2</v>
      </c>
    </row>
    <row r="74" spans="1:40">
      <c r="A74" s="42" t="s">
        <v>290</v>
      </c>
      <c r="B74" s="42" t="s">
        <v>291</v>
      </c>
      <c r="C74" s="42" t="s">
        <v>292</v>
      </c>
      <c r="D74" s="116">
        <f>Datasheet!G74/Datasheet!E74</f>
        <v>0.88206431691519804</v>
      </c>
      <c r="E74" s="116">
        <f>Datasheet!I74/Datasheet!E74</f>
        <v>0.11793568308480193</v>
      </c>
      <c r="F74" s="116">
        <f>(Datasheet!E74-Datasheet!D74)/Datasheet!D74</f>
        <v>1.1660996803797348E-2</v>
      </c>
      <c r="G74" s="116">
        <f>(Datasheet!G74-Datasheet!F74)/Datasheet!F74</f>
        <v>-1.4659734315977217E-2</v>
      </c>
      <c r="H74" s="116">
        <f>(Datasheet!I74-Datasheet!H74)/Datasheet!H74</f>
        <v>0.26423929277842811</v>
      </c>
      <c r="I74" s="116">
        <f>(Datasheet!K74-Datasheet!J74)/Datasheet!J74</f>
        <v>0.11373801916932907</v>
      </c>
      <c r="J74" s="116">
        <f>Datasheet!F74/Datasheet!D74</f>
        <v>0.90562630714783676</v>
      </c>
      <c r="K74" s="116">
        <f>Datasheet!H74/Datasheet!D74</f>
        <v>9.4373692852163252E-2</v>
      </c>
      <c r="L74" s="116">
        <f>Datasheet!R74/Datasheet!Q74</f>
        <v>0.89595375722543358</v>
      </c>
      <c r="M74" s="117">
        <f>(Datasheet!AB74-Datasheet!AA74)/Datasheet!AA74</f>
        <v>8.6187845303867403E-2</v>
      </c>
      <c r="N74" s="118">
        <f>Datasheet!AC74/Datasheet!E74</f>
        <v>2.3252748907968069E-2</v>
      </c>
      <c r="O74" s="111">
        <f>SUM(Datasheet!AD74:AG74)</f>
        <v>2100</v>
      </c>
      <c r="P74" s="111">
        <f>SUM(Datasheet!AH74:AK74)</f>
        <v>2730</v>
      </c>
      <c r="Q74" s="111">
        <f t="shared" si="1"/>
        <v>4830</v>
      </c>
      <c r="R74" s="118">
        <f>Q74/Datasheet!AC74</f>
        <v>0.7821862348178138</v>
      </c>
      <c r="S74" s="118">
        <f>Datasheet!AL74/Datasheet!G74</f>
        <v>1.0758150793413621E-2</v>
      </c>
      <c r="T74" s="118">
        <f>Datasheet!AM74/Datasheet!I74</f>
        <v>0.11670232127462563</v>
      </c>
      <c r="U74" s="119">
        <f>O74/Datasheet!AL74</f>
        <v>0.83333333333333337</v>
      </c>
      <c r="V74" s="119">
        <f>P74/Datasheet!AM74</f>
        <v>0.74692202462380297</v>
      </c>
      <c r="W74" s="120">
        <f>((Datasheet!AP74-Datasheet!AO74)/Datasheet!AO74)*100</f>
        <v>12.30241114925281</v>
      </c>
      <c r="X74" s="119">
        <f>Datasheet!AQ74/Datasheet!AR74</f>
        <v>0.39040229039292546</v>
      </c>
      <c r="Y74" s="111">
        <f>Datasheet!AV74+Datasheet!AS74</f>
        <v>73210</v>
      </c>
      <c r="Z74" s="117">
        <f>Datasheet!AW74/(Datasheet!AS74+Datasheet!AV74)</f>
        <v>0.74978828028957789</v>
      </c>
      <c r="AA74" s="111">
        <f>Datasheet!AX74+Datasheet!AT74</f>
        <v>63259</v>
      </c>
      <c r="AB74" s="119">
        <f>Datasheet!AY74/(Datasheet!AT74+Datasheet!AX74)</f>
        <v>0.56818792582873578</v>
      </c>
      <c r="AC74" s="119">
        <f>Datasheet!AU74/(Datasheet!AU74+Datasheet!AZ74)</f>
        <v>0.96863001942273819</v>
      </c>
      <c r="AD74" s="119">
        <f>Datasheet!AZ74/(Datasheet!AU74+Datasheet!AZ74)</f>
        <v>3.1369980577261848E-2</v>
      </c>
      <c r="AE74" s="117">
        <f>(Datasheet!BB74-Datasheet!BA74)/Datasheet!BA74</f>
        <v>1.3721420067767637E-2</v>
      </c>
      <c r="AF74" s="118">
        <f>(Datasheet!AX74+Datasheet!AT74)/Datasheet!BB74</f>
        <v>0.47622596624358221</v>
      </c>
      <c r="AG74" s="111">
        <f>(Datasheet!AP74*1000)/Datasheet!E74</f>
        <v>617.19385449615902</v>
      </c>
      <c r="AH74" s="119">
        <f>Datasheet!BW74/SUM(Datasheet!$BW74:$BZ74)</f>
        <v>0.743859649122807</v>
      </c>
      <c r="AI74" s="119">
        <f>Datasheet!BX74/SUM(Datasheet!$BW74:$BZ74)</f>
        <v>9.1228070175438603E-2</v>
      </c>
      <c r="AJ74" s="119">
        <f>Datasheet!BY74/SUM(Datasheet!$BW74:$BZ74)</f>
        <v>4.5614035087719301E-2</v>
      </c>
      <c r="AK74" s="119">
        <f>Datasheet!BZ74/SUM(Datasheet!$BW74:$BZ74)</f>
        <v>0.11929824561403508</v>
      </c>
      <c r="AL74" s="31">
        <f>Datasheet!BR74+Datasheet!BS74</f>
        <v>50</v>
      </c>
      <c r="AM74" s="31">
        <f>100-Datasheet!BV74</f>
        <v>86</v>
      </c>
      <c r="AN74" s="121">
        <f>(Datasheet!CL74-Datasheet!CK74)/Datasheet!CK74</f>
        <v>0.18357487922705315</v>
      </c>
    </row>
    <row r="75" spans="1:40">
      <c r="A75" s="42" t="s">
        <v>293</v>
      </c>
      <c r="B75" s="42" t="s">
        <v>294</v>
      </c>
      <c r="C75" s="42" t="s">
        <v>295</v>
      </c>
      <c r="D75" s="116">
        <f>Datasheet!G75/Datasheet!E75</f>
        <v>0.73279213932883169</v>
      </c>
      <c r="E75" s="116">
        <f>Datasheet!I75/Datasheet!E75</f>
        <v>0.26720786067116836</v>
      </c>
      <c r="F75" s="116">
        <f>(Datasheet!E75-Datasheet!D75)/Datasheet!D75</f>
        <v>0.10973542407644081</v>
      </c>
      <c r="G75" s="116">
        <f>(Datasheet!G75-Datasheet!F75)/Datasheet!F75</f>
        <v>8.5194259811900888E-2</v>
      </c>
      <c r="H75" s="116">
        <f>(Datasheet!I75-Datasheet!H75)/Datasheet!H75</f>
        <v>0.18310977799370526</v>
      </c>
      <c r="I75" s="116">
        <f>(Datasheet!K75-Datasheet!J75)/Datasheet!J75</f>
        <v>0.2066914498141264</v>
      </c>
      <c r="J75" s="116">
        <f>Datasheet!F75/Datasheet!D75</f>
        <v>0.74936389328019293</v>
      </c>
      <c r="K75" s="116">
        <f>Datasheet!H75/Datasheet!D75</f>
        <v>0.25063610671980702</v>
      </c>
      <c r="L75" s="116">
        <f>Datasheet!R75/Datasheet!Q75</f>
        <v>0.88423645320197042</v>
      </c>
      <c r="M75" s="117">
        <f>(Datasheet!AB75-Datasheet!AA75)/Datasheet!AA75</f>
        <v>3.4682964094728798E-2</v>
      </c>
      <c r="N75" s="118">
        <f>Datasheet!AC75/Datasheet!E75</f>
        <v>2.2083806830379762E-2</v>
      </c>
      <c r="O75" s="111">
        <f>SUM(Datasheet!AD75:AG75)</f>
        <v>7575</v>
      </c>
      <c r="P75" s="111">
        <f>SUM(Datasheet!AH75:AK75)</f>
        <v>8385</v>
      </c>
      <c r="Q75" s="111">
        <f t="shared" si="1"/>
        <v>15960</v>
      </c>
      <c r="R75" s="118">
        <f>Q75/Datasheet!AC75</f>
        <v>0.68956578094620868</v>
      </c>
      <c r="S75" s="118">
        <f>Datasheet!AL75/Datasheet!G75</f>
        <v>1.0924408044218462E-2</v>
      </c>
      <c r="T75" s="118">
        <f>Datasheet!AM75/Datasheet!I75</f>
        <v>5.268739644632349E-2</v>
      </c>
      <c r="U75" s="119">
        <f>O75/Datasheet!AL75</f>
        <v>0.90286054827175211</v>
      </c>
      <c r="V75" s="119">
        <f>P75/Datasheet!AM75</f>
        <v>0.56828193832599116</v>
      </c>
      <c r="W75" s="120">
        <f>((Datasheet!AP75-Datasheet!AO75)/Datasheet!AO75)*100</f>
        <v>6.0866161079806931</v>
      </c>
      <c r="X75" s="119">
        <f>Datasheet!AQ75/Datasheet!AR75</f>
        <v>0.62413130791069882</v>
      </c>
      <c r="Y75" s="111">
        <f>Datasheet!AV75+Datasheet!AS75</f>
        <v>271761</v>
      </c>
      <c r="Z75" s="117">
        <f>Datasheet!AW75/(Datasheet!AS75+Datasheet!AV75)</f>
        <v>0.60944359197971743</v>
      </c>
      <c r="AA75" s="111">
        <f>Datasheet!AX75+Datasheet!AT75</f>
        <v>361775</v>
      </c>
      <c r="AB75" s="119">
        <f>Datasheet!AY75/(Datasheet!AT75+Datasheet!AX75)</f>
        <v>0.53934351461543772</v>
      </c>
      <c r="AC75" s="119">
        <f>Datasheet!AU75/(Datasheet!AU75+Datasheet!AZ75)</f>
        <v>0.94804919215563366</v>
      </c>
      <c r="AD75" s="119">
        <f>Datasheet!AZ75/(Datasheet!AU75+Datasheet!AZ75)</f>
        <v>5.1950807844366308E-2</v>
      </c>
      <c r="AE75" s="117">
        <f>(Datasheet!BB75-Datasheet!BA75)/Datasheet!BA75</f>
        <v>0.11184554403693701</v>
      </c>
      <c r="AF75" s="118">
        <f>(Datasheet!AX75+Datasheet!AT75)/Datasheet!BB75</f>
        <v>0.59053929202210842</v>
      </c>
      <c r="AG75" s="111">
        <f>(Datasheet!AP75*1000)/Datasheet!E75</f>
        <v>729.15778114274758</v>
      </c>
      <c r="AH75" s="119">
        <f>Datasheet!BW75/SUM(Datasheet!$BW75:$BZ75)</f>
        <v>0.76294277929155319</v>
      </c>
      <c r="AI75" s="119">
        <f>Datasheet!BX75/SUM(Datasheet!$BW75:$BZ75)</f>
        <v>7.6294277929155316E-2</v>
      </c>
      <c r="AJ75" s="119">
        <f>Datasheet!BY75/SUM(Datasheet!$BW75:$BZ75)</f>
        <v>3.8147138964577658E-2</v>
      </c>
      <c r="AK75" s="119">
        <f>Datasheet!BZ75/SUM(Datasheet!$BW75:$BZ75)</f>
        <v>0.1226158038147139</v>
      </c>
      <c r="AL75" s="31">
        <f>Datasheet!BR75+Datasheet!BS75</f>
        <v>18</v>
      </c>
      <c r="AM75" s="31">
        <f>100-Datasheet!BV75</f>
        <v>24</v>
      </c>
      <c r="AN75" s="121">
        <f>(Datasheet!CL75-Datasheet!CK75)/Datasheet!CK75</f>
        <v>-7.5115817339510255E-2</v>
      </c>
    </row>
    <row r="76" spans="1:40">
      <c r="A76" s="42" t="s">
        <v>296</v>
      </c>
      <c r="B76" s="42" t="s">
        <v>297</v>
      </c>
      <c r="C76" s="42" t="s">
        <v>298</v>
      </c>
      <c r="D76" s="116">
        <f>Datasheet!G76/Datasheet!E76</f>
        <v>0.79990489463641634</v>
      </c>
      <c r="E76" s="116">
        <f>Datasheet!I76/Datasheet!E76</f>
        <v>0.20009510536358363</v>
      </c>
      <c r="F76" s="116">
        <f>(Datasheet!E76-Datasheet!D76)/Datasheet!D76</f>
        <v>8.6401060518432354E-2</v>
      </c>
      <c r="G76" s="116">
        <f>(Datasheet!G76-Datasheet!F76)/Datasheet!F76</f>
        <v>7.9268169657448845E-2</v>
      </c>
      <c r="H76" s="116">
        <f>(Datasheet!I76-Datasheet!H76)/Datasheet!H76</f>
        <v>0.11588304951882182</v>
      </c>
      <c r="I76" s="116">
        <f>(Datasheet!K76-Datasheet!J76)/Datasheet!J76</f>
        <v>0.17327619291288218</v>
      </c>
      <c r="J76" s="116">
        <f>Datasheet!F76/Datasheet!D76</f>
        <v>0.80519147166427318</v>
      </c>
      <c r="K76" s="116">
        <f>Datasheet!H76/Datasheet!D76</f>
        <v>0.19480852833572687</v>
      </c>
      <c r="L76" s="116">
        <f>Datasheet!R76/Datasheet!Q76</f>
        <v>0.86635944700460832</v>
      </c>
      <c r="M76" s="117">
        <f>(Datasheet!AB76-Datasheet!AA76)/Datasheet!AA76</f>
        <v>6.3631569695904375E-2</v>
      </c>
      <c r="N76" s="118">
        <f>Datasheet!AC76/Datasheet!E76</f>
        <v>1.4617215865249457E-2</v>
      </c>
      <c r="O76" s="111">
        <f>SUM(Datasheet!AD76:AG76)</f>
        <v>3515</v>
      </c>
      <c r="P76" s="111">
        <f>SUM(Datasheet!AH76:AK76)</f>
        <v>2995</v>
      </c>
      <c r="Q76" s="111">
        <f t="shared" si="1"/>
        <v>6510</v>
      </c>
      <c r="R76" s="118">
        <f>Q76/Datasheet!AC76</f>
        <v>0.66598465473145785</v>
      </c>
      <c r="S76" s="118">
        <f>Datasheet!AL76/Datasheet!G76</f>
        <v>7.7674875963224541E-3</v>
      </c>
      <c r="T76" s="118">
        <f>Datasheet!AM76/Datasheet!I76</f>
        <v>4.1999850534339737E-2</v>
      </c>
      <c r="U76" s="119">
        <f>O76/Datasheet!AL76</f>
        <v>0.84596871239470517</v>
      </c>
      <c r="V76" s="119">
        <f>P76/Datasheet!AM76</f>
        <v>0.5329181494661922</v>
      </c>
      <c r="W76" s="120">
        <f>((Datasheet!AP76-Datasheet!AO76)/Datasheet!AO76)*100</f>
        <v>5.8230193646996629</v>
      </c>
      <c r="X76" s="119">
        <f>Datasheet!AQ76/Datasheet!AR76</f>
        <v>0.49796492427490469</v>
      </c>
      <c r="Y76" s="111">
        <f>Datasheet!AV76+Datasheet!AS76</f>
        <v>184788</v>
      </c>
      <c r="Z76" s="117">
        <f>Datasheet!AW76/(Datasheet!AS76+Datasheet!AV76)</f>
        <v>0.62832002078057014</v>
      </c>
      <c r="AA76" s="111">
        <f>Datasheet!AX76+Datasheet!AT76</f>
        <v>168841</v>
      </c>
      <c r="AB76" s="119">
        <f>Datasheet!AY76/(Datasheet!AT76+Datasheet!AX76)</f>
        <v>0.51290859447646009</v>
      </c>
      <c r="AC76" s="119">
        <f>Datasheet!AU76/(Datasheet!AU76+Datasheet!AZ76)</f>
        <v>0.93532292695622343</v>
      </c>
      <c r="AD76" s="119">
        <f>Datasheet!AZ76/(Datasheet!AU76+Datasheet!AZ76)</f>
        <v>6.4677073043776581E-2</v>
      </c>
      <c r="AE76" s="117">
        <f>(Datasheet!BB76-Datasheet!BA76)/Datasheet!BA76</f>
        <v>9.9600323903492369E-2</v>
      </c>
      <c r="AF76" s="118">
        <f>(Datasheet!AX76+Datasheet!AT76)/Datasheet!BB76</f>
        <v>0.49934344001940106</v>
      </c>
      <c r="AG76" s="111">
        <f>(Datasheet!AP76*1000)/Datasheet!E76</f>
        <v>604.63085361549918</v>
      </c>
      <c r="AH76" s="119">
        <f>Datasheet!BW76/SUM(Datasheet!$BW76:$BZ76)</f>
        <v>0.73710073710073709</v>
      </c>
      <c r="AI76" s="119">
        <f>Datasheet!BX76/SUM(Datasheet!$BW76:$BZ76)</f>
        <v>9.3366093366093361E-2</v>
      </c>
      <c r="AJ76" s="119">
        <f>Datasheet!BY76/SUM(Datasheet!$BW76:$BZ76)</f>
        <v>4.1769041769041768E-2</v>
      </c>
      <c r="AK76" s="119">
        <f>Datasheet!BZ76/SUM(Datasheet!$BW76:$BZ76)</f>
        <v>0.12776412776412777</v>
      </c>
      <c r="AL76" s="31">
        <f>Datasheet!BR76+Datasheet!BS76</f>
        <v>27</v>
      </c>
      <c r="AM76" s="31">
        <f>100-Datasheet!BV76</f>
        <v>33</v>
      </c>
      <c r="AN76" s="121">
        <f>(Datasheet!CL76-Datasheet!CK76)/Datasheet!CK76</f>
        <v>0.50184891706286316</v>
      </c>
    </row>
    <row r="77" spans="1:40">
      <c r="A77" s="42" t="s">
        <v>299</v>
      </c>
      <c r="B77" s="42" t="s">
        <v>300</v>
      </c>
      <c r="C77" s="42" t="s">
        <v>301</v>
      </c>
      <c r="D77" s="116">
        <f>Datasheet!G77/Datasheet!E77</f>
        <v>0.83904273619590519</v>
      </c>
      <c r="E77" s="116">
        <f>Datasheet!I77/Datasheet!E77</f>
        <v>0.16095726380409484</v>
      </c>
      <c r="F77" s="116">
        <f>(Datasheet!E77-Datasheet!D77)/Datasheet!D77</f>
        <v>0.11426402273103116</v>
      </c>
      <c r="G77" s="116">
        <f>(Datasheet!G77-Datasheet!F77)/Datasheet!F77</f>
        <v>9.9665791358319406E-2</v>
      </c>
      <c r="H77" s="116">
        <f>(Datasheet!I77-Datasheet!H77)/Datasheet!H77</f>
        <v>0.19710501229240882</v>
      </c>
      <c r="I77" s="116">
        <f>(Datasheet!K77-Datasheet!J77)/Datasheet!J77</f>
        <v>3.614457831325301E-2</v>
      </c>
      <c r="J77" s="116">
        <f>Datasheet!F77/Datasheet!D77</f>
        <v>0.85018115669678429</v>
      </c>
      <c r="K77" s="116">
        <f>Datasheet!H77/Datasheet!D77</f>
        <v>0.14981884330321571</v>
      </c>
      <c r="L77" s="116">
        <f>Datasheet!R77/Datasheet!Q77</f>
        <v>0.845771144278607</v>
      </c>
      <c r="M77" s="117">
        <f>(Datasheet!AB77-Datasheet!AA77)/Datasheet!AA77</f>
        <v>1.4575186633487379E-2</v>
      </c>
      <c r="N77" s="118">
        <f>Datasheet!AC77/Datasheet!E77</f>
        <v>2.2346274496576383E-2</v>
      </c>
      <c r="O77" s="111">
        <f>SUM(Datasheet!AD77:AG77)</f>
        <v>2225</v>
      </c>
      <c r="P77" s="111">
        <f>SUM(Datasheet!AH77:AK77)</f>
        <v>2825</v>
      </c>
      <c r="Q77" s="111">
        <f t="shared" si="1"/>
        <v>5050</v>
      </c>
      <c r="R77" s="118">
        <f>Q77/Datasheet!AC77</f>
        <v>0.76226415094339628</v>
      </c>
      <c r="S77" s="118">
        <f>Datasheet!AL77/Datasheet!G77</f>
        <v>1.0693424348042822E-2</v>
      </c>
      <c r="T77" s="118">
        <f>Datasheet!AM77/Datasheet!I77</f>
        <v>8.3090592845617053E-2</v>
      </c>
      <c r="U77" s="119">
        <f>O77/Datasheet!AL77</f>
        <v>0.8364661654135338</v>
      </c>
      <c r="V77" s="119">
        <f>P77/Datasheet!AM77</f>
        <v>0.71248423707440101</v>
      </c>
      <c r="W77" s="120">
        <f>((Datasheet!AP77-Datasheet!AO77)/Datasheet!AO77)*100</f>
        <v>11.593696739403761</v>
      </c>
      <c r="X77" s="119">
        <f>Datasheet!AQ77/Datasheet!AR77</f>
        <v>0.57636331275072217</v>
      </c>
      <c r="Y77" s="111">
        <f>Datasheet!AV77+Datasheet!AS77</f>
        <v>102451</v>
      </c>
      <c r="Z77" s="117">
        <f>Datasheet!AW77/(Datasheet!AS77+Datasheet!AV77)</f>
        <v>0.5260954017042293</v>
      </c>
      <c r="AA77" s="111">
        <f>Datasheet!AX77+Datasheet!AT77</f>
        <v>96139</v>
      </c>
      <c r="AB77" s="119">
        <f>Datasheet!AY77/(Datasheet!AT77+Datasheet!AX77)</f>
        <v>0.58488230582801981</v>
      </c>
      <c r="AC77" s="119">
        <f>Datasheet!AU77/(Datasheet!AU77+Datasheet!AZ77)</f>
        <v>0.93748860843390125</v>
      </c>
      <c r="AD77" s="119">
        <f>Datasheet!AZ77/(Datasheet!AU77+Datasheet!AZ77)</f>
        <v>6.2511391566098695E-2</v>
      </c>
      <c r="AE77" s="117">
        <f>(Datasheet!BB77-Datasheet!BA77)/Datasheet!BA77</f>
        <v>0.12097947559050243</v>
      </c>
      <c r="AF77" s="118">
        <f>(Datasheet!AX77+Datasheet!AT77)/Datasheet!BB77</f>
        <v>0.53099334456380654</v>
      </c>
      <c r="AG77" s="111">
        <f>(Datasheet!AP77*1000)/Datasheet!E77</f>
        <v>808.32124666914024</v>
      </c>
      <c r="AH77" s="119">
        <f>Datasheet!BW77/SUM(Datasheet!$BW77:$BZ77)</f>
        <v>0.79668049792531115</v>
      </c>
      <c r="AI77" s="119">
        <f>Datasheet!BX77/SUM(Datasheet!$BW77:$BZ77)</f>
        <v>7.8838174273858919E-2</v>
      </c>
      <c r="AJ77" s="119">
        <f>Datasheet!BY77/SUM(Datasheet!$BW77:$BZ77)</f>
        <v>2.4896265560165973E-2</v>
      </c>
      <c r="AK77" s="119">
        <f>Datasheet!BZ77/SUM(Datasheet!$BW77:$BZ77)</f>
        <v>9.9585062240663894E-2</v>
      </c>
      <c r="AL77" s="31">
        <f>Datasheet!BR77+Datasheet!BS77</f>
        <v>47</v>
      </c>
      <c r="AM77" s="31">
        <f>100-Datasheet!BV77</f>
        <v>70</v>
      </c>
      <c r="AN77" s="121">
        <f>(Datasheet!CL77-Datasheet!CK77)/Datasheet!CK77</f>
        <v>0.14388489208633093</v>
      </c>
    </row>
    <row r="78" spans="1:40">
      <c r="A78" s="42" t="s">
        <v>302</v>
      </c>
      <c r="B78" s="42" t="s">
        <v>303</v>
      </c>
      <c r="C78" s="42" t="s">
        <v>304</v>
      </c>
      <c r="D78" s="116">
        <f>Datasheet!G78/Datasheet!E78</f>
        <v>0.73435693665484192</v>
      </c>
      <c r="E78" s="116">
        <f>Datasheet!I78/Datasheet!E78</f>
        <v>0.26564306334515814</v>
      </c>
      <c r="F78" s="116">
        <f>(Datasheet!E78-Datasheet!D78)/Datasheet!D78</f>
        <v>0.12853162362895937</v>
      </c>
      <c r="G78" s="116">
        <f>(Datasheet!G78-Datasheet!F78)/Datasheet!F78</f>
        <v>0.10293705461120799</v>
      </c>
      <c r="H78" s="116">
        <f>(Datasheet!I78-Datasheet!H78)/Datasheet!H78</f>
        <v>0.20589117298667026</v>
      </c>
      <c r="I78" s="116">
        <f>(Datasheet!K78-Datasheet!J78)/Datasheet!J78</f>
        <v>0.22668639053254439</v>
      </c>
      <c r="J78" s="116">
        <f>Datasheet!F78/Datasheet!D78</f>
        <v>0.75139829837199112</v>
      </c>
      <c r="K78" s="116">
        <f>Datasheet!H78/Datasheet!D78</f>
        <v>0.24860170162800885</v>
      </c>
      <c r="L78" s="116">
        <f>Datasheet!R78/Datasheet!Q78</f>
        <v>0.88161993769470404</v>
      </c>
      <c r="M78" s="117">
        <f>(Datasheet!AB78-Datasheet!AA78)/Datasheet!AA78</f>
        <v>3.8798986157145644E-2</v>
      </c>
      <c r="N78" s="118">
        <f>Datasheet!AC78/Datasheet!E78</f>
        <v>1.8133534156443847E-2</v>
      </c>
      <c r="O78" s="111">
        <f>SUM(Datasheet!AD78:AG78)</f>
        <v>2790</v>
      </c>
      <c r="P78" s="111">
        <f>SUM(Datasheet!AH78:AK78)</f>
        <v>5210</v>
      </c>
      <c r="Q78" s="111">
        <f t="shared" si="1"/>
        <v>8000</v>
      </c>
      <c r="R78" s="118">
        <f>Q78/Datasheet!AC78</f>
        <v>0.72859744990892528</v>
      </c>
      <c r="S78" s="118">
        <f>Datasheet!AL78/Datasheet!G78</f>
        <v>6.9941235868384534E-3</v>
      </c>
      <c r="T78" s="118">
        <f>Datasheet!AM78/Datasheet!I78</f>
        <v>4.8927876455557698E-2</v>
      </c>
      <c r="U78" s="119">
        <f>O78/Datasheet!AL78</f>
        <v>0.89710610932475887</v>
      </c>
      <c r="V78" s="119">
        <f>P78/Datasheet!AM78</f>
        <v>0.66200762388818302</v>
      </c>
      <c r="W78" s="120">
        <f>((Datasheet!AP78-Datasheet!AO78)/Datasheet!AO78)*100</f>
        <v>10.207852965747703</v>
      </c>
      <c r="X78" s="119">
        <f>Datasheet!AQ78/Datasheet!AR78</f>
        <v>0.52895120850613286</v>
      </c>
      <c r="Y78" s="111">
        <f>Datasheet!AV78+Datasheet!AS78</f>
        <v>119361</v>
      </c>
      <c r="Z78" s="117">
        <f>Datasheet!AW78/(Datasheet!AS78+Datasheet!AV78)</f>
        <v>0.61552768492221077</v>
      </c>
      <c r="AA78" s="111">
        <f>Datasheet!AX78+Datasheet!AT78</f>
        <v>138509</v>
      </c>
      <c r="AB78" s="119">
        <f>Datasheet!AY78/(Datasheet!AT78+Datasheet!AX78)</f>
        <v>0.6555819477434679</v>
      </c>
      <c r="AC78" s="119">
        <f>Datasheet!AU78/(Datasheet!AU78+Datasheet!AZ78)</f>
        <v>0.95511617272390736</v>
      </c>
      <c r="AD78" s="119">
        <f>Datasheet!AZ78/(Datasheet!AU78+Datasheet!AZ78)</f>
        <v>4.4883827276092587E-2</v>
      </c>
      <c r="AE78" s="117">
        <f>(Datasheet!BB78-Datasheet!BA78)/Datasheet!BA78</f>
        <v>5.8904640244970996E-2</v>
      </c>
      <c r="AF78" s="118">
        <f>(Datasheet!AX78+Datasheet!AT78)/Datasheet!BB78</f>
        <v>0.60322278596781564</v>
      </c>
      <c r="AG78" s="111">
        <f>(Datasheet!AP78*1000)/Datasheet!E78</f>
        <v>544.66167251299737</v>
      </c>
      <c r="AH78" s="119">
        <f>Datasheet!BW78/SUM(Datasheet!$BW78:$BZ78)</f>
        <v>0.76569678407350694</v>
      </c>
      <c r="AI78" s="119">
        <f>Datasheet!BX78/SUM(Datasheet!$BW78:$BZ78)</f>
        <v>8.575803981623277E-2</v>
      </c>
      <c r="AJ78" s="119">
        <f>Datasheet!BY78/SUM(Datasheet!$BW78:$BZ78)</f>
        <v>2.6033690658499236E-2</v>
      </c>
      <c r="AK78" s="119">
        <f>Datasheet!BZ78/SUM(Datasheet!$BW78:$BZ78)</f>
        <v>0.1225114854517611</v>
      </c>
      <c r="AL78" s="31">
        <f>Datasheet!BR78+Datasheet!BS78</f>
        <v>28</v>
      </c>
      <c r="AM78" s="31">
        <f>100-Datasheet!BV78</f>
        <v>34</v>
      </c>
      <c r="AN78" s="121">
        <f>(Datasheet!CL78-Datasheet!CK78)/Datasheet!CK78</f>
        <v>-1.0484927916120577E-2</v>
      </c>
    </row>
    <row r="79" spans="1:40">
      <c r="A79" s="42" t="s">
        <v>305</v>
      </c>
      <c r="B79" s="42" t="s">
        <v>306</v>
      </c>
      <c r="C79" s="42" t="s">
        <v>307</v>
      </c>
      <c r="D79" s="116">
        <f>Datasheet!G79/Datasheet!E79</f>
        <v>0.86519312290995887</v>
      </c>
      <c r="E79" s="116">
        <f>Datasheet!I79/Datasheet!E79</f>
        <v>0.13480687709004116</v>
      </c>
      <c r="F79" s="116">
        <f>(Datasheet!E79-Datasheet!D79)/Datasheet!D79</f>
        <v>5.5416090827983135E-2</v>
      </c>
      <c r="G79" s="116">
        <f>(Datasheet!G79-Datasheet!F79)/Datasheet!F79</f>
        <v>3.6116776585133466E-2</v>
      </c>
      <c r="H79" s="116">
        <f>(Datasheet!I79-Datasheet!H79)/Datasheet!H79</f>
        <v>0.1987177125170419</v>
      </c>
      <c r="I79" s="116">
        <f>(Datasheet!K79-Datasheet!J79)/Datasheet!J79</f>
        <v>0.14174541411895497</v>
      </c>
      <c r="J79" s="116">
        <f>Datasheet!F79/Datasheet!D79</f>
        <v>0.88130871367842833</v>
      </c>
      <c r="K79" s="116">
        <f>Datasheet!H79/Datasheet!D79</f>
        <v>0.11869128632157165</v>
      </c>
      <c r="L79" s="116">
        <f>Datasheet!R79/Datasheet!Q79</f>
        <v>0.90062111801242239</v>
      </c>
      <c r="M79" s="117">
        <f>(Datasheet!AB79-Datasheet!AA79)/Datasheet!AA79</f>
        <v>1.1025358324145535E-3</v>
      </c>
      <c r="N79" s="118">
        <f>Datasheet!AC79/Datasheet!E79</f>
        <v>1.6057317371323911E-2</v>
      </c>
      <c r="O79" s="111">
        <f>SUM(Datasheet!AD79:AG79)</f>
        <v>1180</v>
      </c>
      <c r="P79" s="111">
        <f>SUM(Datasheet!AH79:AK79)</f>
        <v>1800</v>
      </c>
      <c r="Q79" s="111">
        <f t="shared" si="1"/>
        <v>2980</v>
      </c>
      <c r="R79" s="118">
        <f>Q79/Datasheet!AC79</f>
        <v>0.76903225806451614</v>
      </c>
      <c r="S79" s="118">
        <f>Datasheet!AL79/Datasheet!G79</f>
        <v>7.0165859639543847E-3</v>
      </c>
      <c r="T79" s="118">
        <f>Datasheet!AM79/Datasheet!I79</f>
        <v>7.408090495512111E-2</v>
      </c>
      <c r="U79" s="119">
        <f>O79/Datasheet!AL79</f>
        <v>0.80546075085324231</v>
      </c>
      <c r="V79" s="119">
        <f>P79/Datasheet!AM79</f>
        <v>0.74688796680497926</v>
      </c>
      <c r="W79" s="120">
        <f>((Datasheet!AP79-Datasheet!AO79)/Datasheet!AO79)*100</f>
        <v>4.416983624297786</v>
      </c>
      <c r="X79" s="119">
        <f>Datasheet!AQ79/Datasheet!AR79</f>
        <v>0.44751480478121336</v>
      </c>
      <c r="Y79" s="111">
        <f>Datasheet!AV79+Datasheet!AS79</f>
        <v>54974</v>
      </c>
      <c r="Z79" s="117">
        <f>Datasheet!AW79/(Datasheet!AS79+Datasheet!AV79)</f>
        <v>0.74120493324116854</v>
      </c>
      <c r="AA79" s="111">
        <f>Datasheet!AX79+Datasheet!AT79</f>
        <v>62961</v>
      </c>
      <c r="AB79" s="119">
        <f>Datasheet!AY79/(Datasheet!AT79+Datasheet!AX79)</f>
        <v>0.42801099093089373</v>
      </c>
      <c r="AC79" s="119">
        <f>Datasheet!AU79/(Datasheet!AU79+Datasheet!AZ79)</f>
        <v>0.99391569660800083</v>
      </c>
      <c r="AD79" s="119">
        <f>Datasheet!AZ79/(Datasheet!AU79+Datasheet!AZ79)</f>
        <v>6.0843033919991407E-3</v>
      </c>
      <c r="AE79" s="117">
        <f>(Datasheet!BB79-Datasheet!BA79)/Datasheet!BA79</f>
        <v>0.17653932395018582</v>
      </c>
      <c r="AF79" s="118">
        <f>(Datasheet!AX79+Datasheet!AT79)/Datasheet!BB79</f>
        <v>0.5633438615642028</v>
      </c>
      <c r="AG79" s="111">
        <f>(Datasheet!AP79*1000)/Datasheet!E79</f>
        <v>543.77328311018846</v>
      </c>
      <c r="AH79" s="119">
        <f>Datasheet!BW79/SUM(Datasheet!$BW79:$BZ79)</f>
        <v>0.78969957081545061</v>
      </c>
      <c r="AI79" s="119">
        <f>Datasheet!BX79/SUM(Datasheet!$BW79:$BZ79)</f>
        <v>8.15450643776824E-2</v>
      </c>
      <c r="AJ79" s="119">
        <f>Datasheet!BY79/SUM(Datasheet!$BW79:$BZ79)</f>
        <v>3.4334763948497854E-2</v>
      </c>
      <c r="AK79" s="119">
        <f>Datasheet!BZ79/SUM(Datasheet!$BW79:$BZ79)</f>
        <v>9.4420600858369105E-2</v>
      </c>
      <c r="AL79" s="31">
        <f>Datasheet!BR79+Datasheet!BS79</f>
        <v>50</v>
      </c>
      <c r="AM79" s="31">
        <f>100-Datasheet!BV79</f>
        <v>85</v>
      </c>
      <c r="AN79" s="121">
        <f>(Datasheet!CL79-Datasheet!CK79)/Datasheet!CK79</f>
        <v>0.18705035971223022</v>
      </c>
    </row>
    <row r="80" spans="1:40">
      <c r="A80" s="42" t="s">
        <v>308</v>
      </c>
      <c r="B80" s="42" t="s">
        <v>309</v>
      </c>
      <c r="C80" s="42" t="s">
        <v>310</v>
      </c>
      <c r="D80" s="116">
        <f>Datasheet!G80/Datasheet!E80</f>
        <v>0.69841321288506331</v>
      </c>
      <c r="E80" s="116">
        <f>Datasheet!I80/Datasheet!E80</f>
        <v>0.30158678711493675</v>
      </c>
      <c r="F80" s="116">
        <f>(Datasheet!E80-Datasheet!D80)/Datasheet!D80</f>
        <v>8.6223892757870318E-2</v>
      </c>
      <c r="G80" s="116">
        <f>(Datasheet!G80-Datasheet!F80)/Datasheet!F80</f>
        <v>5.3426637893104818E-2</v>
      </c>
      <c r="H80" s="116">
        <f>(Datasheet!I80-Datasheet!H80)/Datasheet!H80</f>
        <v>0.17062562529579861</v>
      </c>
      <c r="I80" s="116">
        <f>(Datasheet!K80-Datasheet!J80)/Datasheet!J80</f>
        <v>0.2010187899466577</v>
      </c>
      <c r="J80" s="116">
        <f>Datasheet!F80/Datasheet!D80</f>
        <v>0.72015752361345353</v>
      </c>
      <c r="K80" s="116">
        <f>Datasheet!H80/Datasheet!D80</f>
        <v>0.27984247638654647</v>
      </c>
      <c r="L80" s="116">
        <f>Datasheet!R80/Datasheet!Q80</f>
        <v>0.86924939467312345</v>
      </c>
      <c r="M80" s="117">
        <f>(Datasheet!AB80-Datasheet!AA80)/Datasheet!AA80</f>
        <v>4.7489516037628923E-2</v>
      </c>
      <c r="N80" s="118">
        <f>Datasheet!AC80/Datasheet!E80</f>
        <v>1.7355725228541487E-2</v>
      </c>
      <c r="O80" s="111">
        <f>SUM(Datasheet!AD80:AG80)</f>
        <v>3080</v>
      </c>
      <c r="P80" s="111">
        <f>SUM(Datasheet!AH80:AK80)</f>
        <v>3475</v>
      </c>
      <c r="Q80" s="111">
        <f t="shared" si="1"/>
        <v>6555</v>
      </c>
      <c r="R80" s="118">
        <f>Q80/Datasheet!AC80</f>
        <v>0.58292574477545578</v>
      </c>
      <c r="S80" s="118">
        <f>Datasheet!AL80/Datasheet!G80</f>
        <v>8.5743771974603929E-3</v>
      </c>
      <c r="T80" s="118">
        <f>Datasheet!AM80/Datasheet!I80</f>
        <v>3.7691528234102004E-2</v>
      </c>
      <c r="U80" s="119">
        <f>O80/Datasheet!AL80</f>
        <v>0.79381443298969068</v>
      </c>
      <c r="V80" s="119">
        <f>P80/Datasheet!AM80</f>
        <v>0.47182620502376105</v>
      </c>
      <c r="W80" s="120">
        <f>((Datasheet!AP80-Datasheet!AO80)/Datasheet!AO80)*100</f>
        <v>8.1146752554688248</v>
      </c>
      <c r="X80" s="119">
        <f>Datasheet!AQ80/Datasheet!AR80</f>
        <v>0.50674544511912267</v>
      </c>
      <c r="Y80" s="111">
        <f>Datasheet!AV80+Datasheet!AS80</f>
        <v>145275</v>
      </c>
      <c r="Z80" s="117">
        <f>Datasheet!AW80/(Datasheet!AS80+Datasheet!AV80)</f>
        <v>0.5491516090173808</v>
      </c>
      <c r="AA80" s="111">
        <f>Datasheet!AX80+Datasheet!AT80</f>
        <v>160507</v>
      </c>
      <c r="AB80" s="119">
        <f>Datasheet!AY80/(Datasheet!AT80+Datasheet!AX80)</f>
        <v>0.79939815708972195</v>
      </c>
      <c r="AC80" s="119">
        <f>Datasheet!AU80/(Datasheet!AU80+Datasheet!AZ80)</f>
        <v>0.93760811984524062</v>
      </c>
      <c r="AD80" s="119">
        <f>Datasheet!AZ80/(Datasheet!AU80+Datasheet!AZ80)</f>
        <v>6.2391880154759424E-2</v>
      </c>
      <c r="AE80" s="117">
        <f>(Datasheet!BB80-Datasheet!BA80)/Datasheet!BA80</f>
        <v>0.14296379858476055</v>
      </c>
      <c r="AF80" s="118">
        <f>(Datasheet!AX80+Datasheet!AT80)/Datasheet!BB80</f>
        <v>0.57606612448228089</v>
      </c>
      <c r="AG80" s="111">
        <f>(Datasheet!AP80*1000)/Datasheet!E80</f>
        <v>497.88320345478485</v>
      </c>
      <c r="AH80" s="119">
        <f>Datasheet!BW80/SUM(Datasheet!$BW80:$BZ80)</f>
        <v>0.74941451990632324</v>
      </c>
      <c r="AI80" s="119">
        <f>Datasheet!BX80/SUM(Datasheet!$BW80:$BZ80)</f>
        <v>7.4941451990632318E-2</v>
      </c>
      <c r="AJ80" s="119">
        <f>Datasheet!BY80/SUM(Datasheet!$BW80:$BZ80)</f>
        <v>3.0444964871194378E-2</v>
      </c>
      <c r="AK80" s="119">
        <f>Datasheet!BZ80/SUM(Datasheet!$BW80:$BZ80)</f>
        <v>0.14519906323185011</v>
      </c>
      <c r="AL80" s="31">
        <f>Datasheet!BR80+Datasheet!BS80</f>
        <v>21</v>
      </c>
      <c r="AM80" s="31">
        <f>100-Datasheet!BV80</f>
        <v>18</v>
      </c>
      <c r="AN80" s="121">
        <f>(Datasheet!CL80-Datasheet!CK80)/Datasheet!CK80</f>
        <v>-6.5762004175365346E-2</v>
      </c>
    </row>
    <row r="81" spans="1:40">
      <c r="A81" s="42" t="s">
        <v>311</v>
      </c>
      <c r="B81" s="42" t="s">
        <v>312</v>
      </c>
      <c r="C81" s="42" t="s">
        <v>313</v>
      </c>
      <c r="D81" s="116">
        <f>Datasheet!G81/Datasheet!E81</f>
        <v>0.80699167265973648</v>
      </c>
      <c r="E81" s="116">
        <f>Datasheet!I81/Datasheet!E81</f>
        <v>0.19300832734026349</v>
      </c>
      <c r="F81" s="116">
        <f>(Datasheet!E81-Datasheet!D81)/Datasheet!D81</f>
        <v>8.5319254057690697E-2</v>
      </c>
      <c r="G81" s="116">
        <f>(Datasheet!G81-Datasheet!F81)/Datasheet!F81</f>
        <v>7.3119290574154519E-2</v>
      </c>
      <c r="H81" s="116">
        <f>(Datasheet!I81-Datasheet!H81)/Datasheet!H81</f>
        <v>0.13948335263255707</v>
      </c>
      <c r="I81" s="116">
        <f>(Datasheet!K81-Datasheet!J81)/Datasheet!J81</f>
        <v>6.4770189255906899E-2</v>
      </c>
      <c r="J81" s="116">
        <f>Datasheet!F81/Datasheet!D81</f>
        <v>0.81616611302665887</v>
      </c>
      <c r="K81" s="116">
        <f>Datasheet!H81/Datasheet!D81</f>
        <v>0.18383388697334119</v>
      </c>
      <c r="L81" s="116">
        <f>Datasheet!R81/Datasheet!Q81</f>
        <v>0.82558139534883723</v>
      </c>
      <c r="M81" s="117">
        <f>(Datasheet!AB81-Datasheet!AA81)/Datasheet!AA81</f>
        <v>5.8190282222868777E-3</v>
      </c>
      <c r="N81" s="118">
        <f>Datasheet!AC81/Datasheet!E81</f>
        <v>2.2592057184782688E-2</v>
      </c>
      <c r="O81" s="111">
        <f>SUM(Datasheet!AD81:AG81)</f>
        <v>2995</v>
      </c>
      <c r="P81" s="111">
        <f>SUM(Datasheet!AH81:AK81)</f>
        <v>3830</v>
      </c>
      <c r="Q81" s="111">
        <f t="shared" si="1"/>
        <v>6825</v>
      </c>
      <c r="R81" s="118">
        <f>Q81/Datasheet!AC81</f>
        <v>0.73151125401929262</v>
      </c>
      <c r="S81" s="118">
        <f>Datasheet!AL81/Datasheet!G81</f>
        <v>1.0111951606660086E-2</v>
      </c>
      <c r="T81" s="118">
        <f>Datasheet!AM81/Datasheet!I81</f>
        <v>7.4772921162242184E-2</v>
      </c>
      <c r="U81" s="119">
        <f>O81/Datasheet!AL81</f>
        <v>0.88872403560830859</v>
      </c>
      <c r="V81" s="119">
        <f>P81/Datasheet!AM81</f>
        <v>0.64261744966442957</v>
      </c>
      <c r="W81" s="120">
        <f>((Datasheet!AP81-Datasheet!AO81)/Datasheet!AO81)*100</f>
        <v>10.827824336751513</v>
      </c>
      <c r="X81" s="119">
        <f>Datasheet!AQ81/Datasheet!AR81</f>
        <v>0.47898463228926436</v>
      </c>
      <c r="Y81" s="111">
        <f>Datasheet!AV81+Datasheet!AS81</f>
        <v>144865</v>
      </c>
      <c r="Z81" s="117">
        <f>Datasheet!AW81/(Datasheet!AS81+Datasheet!AV81)</f>
        <v>0.47895626963034549</v>
      </c>
      <c r="AA81" s="111">
        <f>Datasheet!AX81+Datasheet!AT81</f>
        <v>127280</v>
      </c>
      <c r="AB81" s="119">
        <f>Datasheet!AY81/(Datasheet!AT81+Datasheet!AX81)</f>
        <v>0.58876492771841604</v>
      </c>
      <c r="AC81" s="119">
        <f>Datasheet!AU81/(Datasheet!AU81+Datasheet!AZ81)</f>
        <v>0.97888798370672103</v>
      </c>
      <c r="AD81" s="119">
        <f>Datasheet!AZ81/(Datasheet!AU81+Datasheet!AZ81)</f>
        <v>2.1112016293279023E-2</v>
      </c>
      <c r="AE81" s="117">
        <f>(Datasheet!BB81-Datasheet!BA81)/Datasheet!BA81</f>
        <v>0.15841775705785482</v>
      </c>
      <c r="AF81" s="118">
        <f>(Datasheet!AX81+Datasheet!AT81)/Datasheet!BB81</f>
        <v>0.51845213849287164</v>
      </c>
      <c r="AG81" s="111">
        <f>(Datasheet!AP81*1000)/Datasheet!E81</f>
        <v>773.32878102170343</v>
      </c>
      <c r="AH81" s="119">
        <f>Datasheet!BW81/SUM(Datasheet!$BW81:$BZ81)</f>
        <v>0.74349442379182151</v>
      </c>
      <c r="AI81" s="119">
        <f>Datasheet!BX81/SUM(Datasheet!$BW81:$BZ81)</f>
        <v>8.1784386617100371E-2</v>
      </c>
      <c r="AJ81" s="119">
        <f>Datasheet!BY81/SUM(Datasheet!$BW81:$BZ81)</f>
        <v>4.8327137546468404E-2</v>
      </c>
      <c r="AK81" s="119">
        <f>Datasheet!BZ81/SUM(Datasheet!$BW81:$BZ81)</f>
        <v>0.12639405204460966</v>
      </c>
      <c r="AL81" s="31">
        <f>Datasheet!BR81+Datasheet!BS81</f>
        <v>23</v>
      </c>
      <c r="AM81" s="31">
        <f>100-Datasheet!BV81</f>
        <v>22</v>
      </c>
      <c r="AN81" s="121">
        <f>(Datasheet!CL81-Datasheet!CK81)/Datasheet!CK81</f>
        <v>9.9865047233468285E-2</v>
      </c>
    </row>
    <row r="82" spans="1:40">
      <c r="A82" s="42" t="s">
        <v>314</v>
      </c>
      <c r="B82" s="42" t="s">
        <v>315</v>
      </c>
      <c r="C82" s="42" t="s">
        <v>316</v>
      </c>
      <c r="D82" s="116">
        <f>Datasheet!G82/Datasheet!E82</f>
        <v>0.84302328874990795</v>
      </c>
      <c r="E82" s="116">
        <f>Datasheet!I82/Datasheet!E82</f>
        <v>0.15697671125009205</v>
      </c>
      <c r="F82" s="116">
        <f>(Datasheet!E82-Datasheet!D82)/Datasheet!D82</f>
        <v>9.8859575951494624E-2</v>
      </c>
      <c r="G82" s="116">
        <f>(Datasheet!G82-Datasheet!F82)/Datasheet!F82</f>
        <v>0.10071229391184716</v>
      </c>
      <c r="H82" s="116">
        <f>(Datasheet!I82-Datasheet!H82)/Datasheet!H82</f>
        <v>8.9015523678522307E-2</v>
      </c>
      <c r="I82" s="116">
        <f>(Datasheet!K82-Datasheet!J82)/Datasheet!J82</f>
        <v>0.21084891204413117</v>
      </c>
      <c r="J82" s="116">
        <f>Datasheet!F82/Datasheet!D82</f>
        <v>0.84160431269531011</v>
      </c>
      <c r="K82" s="116">
        <f>Datasheet!H82/Datasheet!D82</f>
        <v>0.15839568730468992</v>
      </c>
      <c r="L82" s="116">
        <f>Datasheet!R82/Datasheet!Q82</f>
        <v>0.9363636363636364</v>
      </c>
      <c r="M82" s="117">
        <f>(Datasheet!AB82-Datasheet!AA82)/Datasheet!AA82</f>
        <v>2.0161290322580645E-3</v>
      </c>
      <c r="N82" s="118">
        <f>Datasheet!AC82/Datasheet!E82</f>
        <v>2.4359431915387798E-2</v>
      </c>
      <c r="O82" s="111">
        <f>SUM(Datasheet!AD82:AG82)</f>
        <v>1440</v>
      </c>
      <c r="P82" s="111">
        <f>SUM(Datasheet!AH82:AK82)</f>
        <v>2280</v>
      </c>
      <c r="Q82" s="111">
        <f t="shared" si="1"/>
        <v>3720</v>
      </c>
      <c r="R82" s="118">
        <f>Q82/Datasheet!AC82</f>
        <v>0.8651162790697674</v>
      </c>
      <c r="S82" s="118">
        <f>Datasheet!AL82/Datasheet!G82</f>
        <v>1.0852546484514121E-2</v>
      </c>
      <c r="T82" s="118">
        <f>Datasheet!AM82/Datasheet!I82</f>
        <v>9.6896427282569475E-2</v>
      </c>
      <c r="U82" s="119">
        <f>O82/Datasheet!AL82</f>
        <v>0.89164086687306499</v>
      </c>
      <c r="V82" s="119">
        <f>P82/Datasheet!AM82</f>
        <v>0.84916201117318435</v>
      </c>
      <c r="W82" s="120">
        <f>((Datasheet!AP82-Datasheet!AO82)/Datasheet!AO82)*100</f>
        <v>5.3427756866166822</v>
      </c>
      <c r="X82" s="119">
        <f>Datasheet!AQ82/Datasheet!AR82</f>
        <v>0.48385642135642137</v>
      </c>
      <c r="Y82" s="111">
        <f>Datasheet!AV82+Datasheet!AS82</f>
        <v>48468</v>
      </c>
      <c r="Z82" s="117">
        <f>Datasheet!AW82/(Datasheet!AS82+Datasheet!AV82)</f>
        <v>0.55034249401667079</v>
      </c>
      <c r="AA82" s="111">
        <f>Datasheet!AX82+Datasheet!AT82</f>
        <v>38900</v>
      </c>
      <c r="AB82" s="119">
        <f>Datasheet!AY82/(Datasheet!AT82+Datasheet!AX82)</f>
        <v>0.56264781491002569</v>
      </c>
      <c r="AC82" s="119">
        <f>Datasheet!AU82/(Datasheet!AU82+Datasheet!AZ82)</f>
        <v>0.91609459360418244</v>
      </c>
      <c r="AD82" s="119">
        <f>Datasheet!AZ82/(Datasheet!AU82+Datasheet!AZ82)</f>
        <v>8.3905406395817561E-2</v>
      </c>
      <c r="AE82" s="117">
        <f>(Datasheet!BB82-Datasheet!BA82)/Datasheet!BA82</f>
        <v>0.16224197166302279</v>
      </c>
      <c r="AF82" s="118">
        <f>(Datasheet!AX82+Datasheet!AT82)/Datasheet!BB82</f>
        <v>0.47516673588547137</v>
      </c>
      <c r="AG82" s="111">
        <f>(Datasheet!AP82*1000)/Datasheet!E82</f>
        <v>588.18964100995333</v>
      </c>
      <c r="AH82" s="119">
        <f>Datasheet!BW82/SUM(Datasheet!$BW82:$BZ82)</f>
        <v>0.76543209876543206</v>
      </c>
      <c r="AI82" s="119">
        <f>Datasheet!BX82/SUM(Datasheet!$BW82:$BZ82)</f>
        <v>9.2592592592592587E-2</v>
      </c>
      <c r="AJ82" s="119">
        <f>Datasheet!BY82/SUM(Datasheet!$BW82:$BZ82)</f>
        <v>3.0864197530864196E-2</v>
      </c>
      <c r="AK82" s="119">
        <f>Datasheet!BZ82/SUM(Datasheet!$BW82:$BZ82)</f>
        <v>0.1111111111111111</v>
      </c>
      <c r="AL82" s="31">
        <f>Datasheet!BR82+Datasheet!BS82</f>
        <v>46</v>
      </c>
      <c r="AM82" s="31">
        <f>100-Datasheet!BV82</f>
        <v>64</v>
      </c>
      <c r="AN82" s="121">
        <f>(Datasheet!CL82-Datasheet!CK82)/Datasheet!CK82</f>
        <v>-0.75107296137339052</v>
      </c>
    </row>
    <row r="83" spans="1:40">
      <c r="A83" s="42" t="s">
        <v>317</v>
      </c>
      <c r="B83" s="42" t="s">
        <v>318</v>
      </c>
      <c r="C83" s="42" t="s">
        <v>319</v>
      </c>
      <c r="D83" s="116">
        <f>Datasheet!G83/Datasheet!E83</f>
        <v>0.87800870655112773</v>
      </c>
      <c r="E83" s="116">
        <f>Datasheet!I83/Datasheet!E83</f>
        <v>0.12199129344887229</v>
      </c>
      <c r="F83" s="116">
        <f>(Datasheet!E83-Datasheet!D83)/Datasheet!D83</f>
        <v>0.14219344182849455</v>
      </c>
      <c r="G83" s="116">
        <f>(Datasheet!G83-Datasheet!F83)/Datasheet!F83</f>
        <v>0.14316113448871629</v>
      </c>
      <c r="H83" s="116">
        <f>(Datasheet!I83-Datasheet!H83)/Datasheet!H83</f>
        <v>0.1352766977578114</v>
      </c>
      <c r="I83" s="116">
        <f>(Datasheet!K83-Datasheet!J83)/Datasheet!J83</f>
        <v>-4.3072050673000795E-2</v>
      </c>
      <c r="J83" s="116">
        <f>Datasheet!F83/Datasheet!D83</f>
        <v>0.87726546698908625</v>
      </c>
      <c r="K83" s="116">
        <f>Datasheet!H83/Datasheet!D83</f>
        <v>0.1227345330109138</v>
      </c>
      <c r="L83" s="116">
        <f>Datasheet!R83/Datasheet!Q83</f>
        <v>0.83613445378151263</v>
      </c>
      <c r="M83" s="117">
        <f>(Datasheet!AB83-Datasheet!AA83)/Datasheet!AA83</f>
        <v>-1.3274336283185841E-2</v>
      </c>
      <c r="N83" s="118">
        <f>Datasheet!AC83/Datasheet!E83</f>
        <v>1.5510303040798699E-2</v>
      </c>
      <c r="O83" s="111">
        <f>SUM(Datasheet!AD83:AG83)</f>
        <v>2455</v>
      </c>
      <c r="P83" s="111">
        <f>SUM(Datasheet!AH83:AK83)</f>
        <v>2840</v>
      </c>
      <c r="Q83" s="111">
        <f t="shared" si="1"/>
        <v>5295</v>
      </c>
      <c r="R83" s="118">
        <f>Q83/Datasheet!AC83</f>
        <v>0.73900907187718079</v>
      </c>
      <c r="S83" s="118">
        <f>Datasheet!AL83/Datasheet!G83</f>
        <v>7.1006442355342862E-3</v>
      </c>
      <c r="T83" s="118">
        <f>Datasheet!AM83/Datasheet!I83</f>
        <v>7.6037193455655322E-2</v>
      </c>
      <c r="U83" s="119">
        <f>O83/Datasheet!AL83</f>
        <v>0.85243055555555558</v>
      </c>
      <c r="V83" s="119">
        <f>P83/Datasheet!AM83</f>
        <v>0.66277712952158696</v>
      </c>
      <c r="W83" s="120">
        <f>((Datasheet!AP83-Datasheet!AO83)/Datasheet!AO83)*100</f>
        <v>10.445660386555851</v>
      </c>
      <c r="X83" s="119">
        <f>Datasheet!AQ83/Datasheet!AR83</f>
        <v>0.44090707441352101</v>
      </c>
      <c r="Y83" s="111">
        <f>Datasheet!AV83+Datasheet!AS83</f>
        <v>179463</v>
      </c>
      <c r="Z83" s="117">
        <f>Datasheet!AW83/(Datasheet!AS83+Datasheet!AV83)</f>
        <v>0.53745897483046645</v>
      </c>
      <c r="AA83" s="111">
        <f>Datasheet!AX83+Datasheet!AT83</f>
        <v>115117</v>
      </c>
      <c r="AB83" s="119">
        <f>Datasheet!AY83/(Datasheet!AT83+Datasheet!AX83)</f>
        <v>0.69121849943970048</v>
      </c>
      <c r="AC83" s="119">
        <f>Datasheet!AU83/(Datasheet!AU83+Datasheet!AZ83)</f>
        <v>0.94692369126909981</v>
      </c>
      <c r="AD83" s="119">
        <f>Datasheet!AZ83/(Datasheet!AU83+Datasheet!AZ83)</f>
        <v>5.3076308730900211E-2</v>
      </c>
      <c r="AE83" s="117">
        <f>(Datasheet!BB83-Datasheet!BA83)/Datasheet!BA83</f>
        <v>0.13470835915959561</v>
      </c>
      <c r="AF83" s="118">
        <f>(Datasheet!AX83+Datasheet!AT83)/Datasheet!BB83</f>
        <v>0.43367062475513096</v>
      </c>
      <c r="AG83" s="111">
        <f>(Datasheet!AP83*1000)/Datasheet!E83</f>
        <v>784.75422717993899</v>
      </c>
      <c r="AH83" s="119">
        <f>Datasheet!BW83/SUM(Datasheet!$BW83:$BZ83)</f>
        <v>0.72146118721461183</v>
      </c>
      <c r="AI83" s="119">
        <f>Datasheet!BX83/SUM(Datasheet!$BW83:$BZ83)</f>
        <v>8.6757990867579904E-2</v>
      </c>
      <c r="AJ83" s="119">
        <f>Datasheet!BY83/SUM(Datasheet!$BW83:$BZ83)</f>
        <v>5.4794520547945202E-2</v>
      </c>
      <c r="AK83" s="119">
        <f>Datasheet!BZ83/SUM(Datasheet!$BW83:$BZ83)</f>
        <v>0.13698630136986301</v>
      </c>
      <c r="AL83" s="31">
        <f>Datasheet!BR83+Datasheet!BS83</f>
        <v>30</v>
      </c>
      <c r="AM83" s="31">
        <f>100-Datasheet!BV83</f>
        <v>48</v>
      </c>
      <c r="AN83" s="121">
        <f>(Datasheet!CL83-Datasheet!CK83)/Datasheet!CK83</f>
        <v>0.18911917098445596</v>
      </c>
    </row>
    <row r="84" spans="1:40">
      <c r="A84" s="42" t="s">
        <v>320</v>
      </c>
      <c r="B84" s="42" t="s">
        <v>321</v>
      </c>
      <c r="C84" s="42" t="s">
        <v>322</v>
      </c>
      <c r="D84" s="116">
        <f>Datasheet!G84/Datasheet!E84</f>
        <v>0.78201042680569077</v>
      </c>
      <c r="E84" s="116">
        <f>Datasheet!I84/Datasheet!E84</f>
        <v>0.21798957319430926</v>
      </c>
      <c r="F84" s="116">
        <f>(Datasheet!E84-Datasheet!D84)/Datasheet!D84</f>
        <v>5.4230331313869638E-2</v>
      </c>
      <c r="G84" s="116">
        <f>(Datasheet!G84-Datasheet!F84)/Datasheet!F84</f>
        <v>3.0695331263546365E-2</v>
      </c>
      <c r="H84" s="116">
        <f>(Datasheet!I84-Datasheet!H84)/Datasheet!H84</f>
        <v>0.14829208905953692</v>
      </c>
      <c r="I84" s="116">
        <f>(Datasheet!K84-Datasheet!J84)/Datasheet!J84</f>
        <v>0.22867249271743653</v>
      </c>
      <c r="J84" s="116">
        <f>Datasheet!F84/Datasheet!D84</f>
        <v>0.79986693093059325</v>
      </c>
      <c r="K84" s="116">
        <f>Datasheet!H84/Datasheet!D84</f>
        <v>0.20013306906940675</v>
      </c>
      <c r="L84" s="116">
        <f>Datasheet!R84/Datasheet!Q84</f>
        <v>0.91666666666666663</v>
      </c>
      <c r="M84" s="117">
        <f>(Datasheet!AB84-Datasheet!AA84)/Datasheet!AA84</f>
        <v>-3.2898468519568916E-2</v>
      </c>
      <c r="N84" s="118">
        <f>Datasheet!AC84/Datasheet!E84</f>
        <v>1.700022666968893E-2</v>
      </c>
      <c r="O84" s="111">
        <f>SUM(Datasheet!AD84:AG84)</f>
        <v>1275</v>
      </c>
      <c r="P84" s="111">
        <f>SUM(Datasheet!AH84:AK84)</f>
        <v>1325</v>
      </c>
      <c r="Q84" s="111">
        <f t="shared" si="1"/>
        <v>2600</v>
      </c>
      <c r="R84" s="118">
        <f>Q84/Datasheet!AC84</f>
        <v>0.6797385620915033</v>
      </c>
      <c r="S84" s="118">
        <f>Datasheet!AL84/Datasheet!G84</f>
        <v>8.6104006820119355E-3</v>
      </c>
      <c r="T84" s="118">
        <f>Datasheet!AM84/Datasheet!I84</f>
        <v>4.7097681815401554E-2</v>
      </c>
      <c r="U84" s="119">
        <f>O84/Datasheet!AL84</f>
        <v>0.84158415841584155</v>
      </c>
      <c r="V84" s="119">
        <f>P84/Datasheet!AM84</f>
        <v>0.57359307359307354</v>
      </c>
      <c r="W84" s="120">
        <f>((Datasheet!AP84-Datasheet!AO84)/Datasheet!AO84)*100</f>
        <v>16.615394010641303</v>
      </c>
      <c r="X84" s="119">
        <f>Datasheet!AQ84/Datasheet!AR84</f>
        <v>0.49505690374973788</v>
      </c>
      <c r="Y84" s="111">
        <f>Datasheet!AV84+Datasheet!AS84</f>
        <v>70697</v>
      </c>
      <c r="Z84" s="117">
        <f>Datasheet!AW84/(Datasheet!AS84+Datasheet!AV84)</f>
        <v>0.58910561975755693</v>
      </c>
      <c r="AA84" s="111">
        <f>Datasheet!AX84+Datasheet!AT84</f>
        <v>58534</v>
      </c>
      <c r="AB84" s="119">
        <f>Datasheet!AY84/(Datasheet!AT84+Datasheet!AX84)</f>
        <v>0.60679263334130595</v>
      </c>
      <c r="AC84" s="119">
        <f>Datasheet!AU84/(Datasheet!AU84+Datasheet!AZ84)</f>
        <v>0.96951141727261125</v>
      </c>
      <c r="AD84" s="119">
        <f>Datasheet!AZ84/(Datasheet!AU84+Datasheet!AZ84)</f>
        <v>3.0488582727388698E-2</v>
      </c>
      <c r="AE84" s="117">
        <f>(Datasheet!BB84-Datasheet!BA84)/Datasheet!BA84</f>
        <v>0.1751449130521687</v>
      </c>
      <c r="AF84" s="118">
        <f>(Datasheet!AX84+Datasheet!AT84)/Datasheet!BB84</f>
        <v>0.49780159033890375</v>
      </c>
      <c r="AG84" s="111">
        <f>(Datasheet!AP84*1000)/Datasheet!E84</f>
        <v>678.96460841700116</v>
      </c>
      <c r="AH84" s="119">
        <f>Datasheet!BW84/SUM(Datasheet!$BW84:$BZ84)</f>
        <v>0.76335877862595425</v>
      </c>
      <c r="AI84" s="119">
        <f>Datasheet!BX84/SUM(Datasheet!$BW84:$BZ84)</f>
        <v>8.3969465648854963E-2</v>
      </c>
      <c r="AJ84" s="119">
        <f>Datasheet!BY84/SUM(Datasheet!$BW84:$BZ84)</f>
        <v>3.8167938931297711E-2</v>
      </c>
      <c r="AK84" s="119">
        <f>Datasheet!BZ84/SUM(Datasheet!$BW84:$BZ84)</f>
        <v>0.11450381679389313</v>
      </c>
      <c r="AL84" s="31">
        <f>Datasheet!BR84+Datasheet!BS84</f>
        <v>42</v>
      </c>
      <c r="AM84" s="31">
        <f>100-Datasheet!BV84</f>
        <v>54</v>
      </c>
      <c r="AN84" s="121">
        <f>(Datasheet!CL84-Datasheet!CK84)/Datasheet!CK84</f>
        <v>0.1347305389221557</v>
      </c>
    </row>
    <row r="85" spans="1:40">
      <c r="A85" s="42" t="s">
        <v>323</v>
      </c>
      <c r="B85" s="42" t="s">
        <v>324</v>
      </c>
      <c r="C85" s="42" t="s">
        <v>325</v>
      </c>
      <c r="D85" s="116">
        <f>Datasheet!G85/Datasheet!E85</f>
        <v>0.82914642131017613</v>
      </c>
      <c r="E85" s="116">
        <f>Datasheet!I85/Datasheet!E85</f>
        <v>0.1708535786898239</v>
      </c>
      <c r="F85" s="116">
        <f>(Datasheet!E85-Datasheet!D85)/Datasheet!D85</f>
        <v>4.1719266966214155E-2</v>
      </c>
      <c r="G85" s="116">
        <f>(Datasheet!G85-Datasheet!F85)/Datasheet!F85</f>
        <v>1.5667761838763464E-2</v>
      </c>
      <c r="H85" s="116">
        <f>(Datasheet!I85-Datasheet!H85)/Datasheet!H85</f>
        <v>0.1898248140148788</v>
      </c>
      <c r="I85" s="116">
        <f>(Datasheet!K85-Datasheet!J85)/Datasheet!J85</f>
        <v>0.14018422567645367</v>
      </c>
      <c r="J85" s="116">
        <f>Datasheet!F85/Datasheet!D85</f>
        <v>0.85041372254563508</v>
      </c>
      <c r="K85" s="116">
        <f>Datasheet!H85/Datasheet!D85</f>
        <v>0.14958627745436487</v>
      </c>
      <c r="L85" s="116">
        <f>Datasheet!R85/Datasheet!Q85</f>
        <v>0.8764044943820225</v>
      </c>
      <c r="M85" s="117">
        <f>(Datasheet!AB85-Datasheet!AA85)/Datasheet!AA85</f>
        <v>-0.11349693251533742</v>
      </c>
      <c r="N85" s="118">
        <f>Datasheet!AC85/Datasheet!E85</f>
        <v>1.3324603420747327E-2</v>
      </c>
      <c r="O85" s="111">
        <f>SUM(Datasheet!AD85:AG85)</f>
        <v>690</v>
      </c>
      <c r="P85" s="111">
        <f>SUM(Datasheet!AH85:AK85)</f>
        <v>1035</v>
      </c>
      <c r="Q85" s="111">
        <f t="shared" si="1"/>
        <v>1725</v>
      </c>
      <c r="R85" s="118">
        <f>Q85/Datasheet!AC85</f>
        <v>0.74353448275862066</v>
      </c>
      <c r="S85" s="118">
        <f>Datasheet!AL85/Datasheet!G85</f>
        <v>5.7492761453527838E-3</v>
      </c>
      <c r="T85" s="118">
        <f>Datasheet!AM85/Datasheet!I85</f>
        <v>5.0087400833669492E-2</v>
      </c>
      <c r="U85" s="119">
        <f>O85/Datasheet!AL85</f>
        <v>0.83132530120481929</v>
      </c>
      <c r="V85" s="119">
        <f>P85/Datasheet!AM85</f>
        <v>0.69463087248322153</v>
      </c>
      <c r="W85" s="120">
        <f>((Datasheet!AP85-Datasheet!AO85)/Datasheet!AO85)*100</f>
        <v>10.514947494197937</v>
      </c>
      <c r="X85" s="119">
        <f>Datasheet!AQ85/Datasheet!AR85</f>
        <v>0.43617866964592644</v>
      </c>
      <c r="Y85" s="111">
        <f>Datasheet!AV85+Datasheet!AS85</f>
        <v>35114</v>
      </c>
      <c r="Z85" s="117">
        <f>Datasheet!AW85/(Datasheet!AS85+Datasheet!AV85)</f>
        <v>0.66628695107364588</v>
      </c>
      <c r="AA85" s="111">
        <f>Datasheet!AX85+Datasheet!AT85</f>
        <v>37604</v>
      </c>
      <c r="AB85" s="119">
        <f>Datasheet!AY85/(Datasheet!AT85+Datasheet!AX85)</f>
        <v>0.61139772364642064</v>
      </c>
      <c r="AC85" s="119">
        <f>Datasheet!AU85/(Datasheet!AU85+Datasheet!AZ85)</f>
        <v>0.9541007948292427</v>
      </c>
      <c r="AD85" s="119">
        <f>Datasheet!AZ85/(Datasheet!AU85+Datasheet!AZ85)</f>
        <v>4.5899205170757268E-2</v>
      </c>
      <c r="AE85" s="117">
        <f>(Datasheet!BB85-Datasheet!BA85)/Datasheet!BA85</f>
        <v>0.10314592667533844</v>
      </c>
      <c r="AF85" s="118">
        <f>(Datasheet!AX85+Datasheet!AT85)/Datasheet!BB85</f>
        <v>0.5474131656330975</v>
      </c>
      <c r="AG85" s="111">
        <f>(Datasheet!AP85*1000)/Datasheet!E85</f>
        <v>552.45413924210573</v>
      </c>
      <c r="AH85" s="119">
        <f>Datasheet!BW85/SUM(Datasheet!$BW85:$BZ85)</f>
        <v>0.77647058823529413</v>
      </c>
      <c r="AI85" s="119">
        <f>Datasheet!BX85/SUM(Datasheet!$BW85:$BZ85)</f>
        <v>7.0588235294117646E-2</v>
      </c>
      <c r="AJ85" s="119">
        <f>Datasheet!BY85/SUM(Datasheet!$BW85:$BZ85)</f>
        <v>4.1176470588235294E-2</v>
      </c>
      <c r="AK85" s="119">
        <f>Datasheet!BZ85/SUM(Datasheet!$BW85:$BZ85)</f>
        <v>0.11176470588235295</v>
      </c>
      <c r="AL85" s="31">
        <f>Datasheet!BR85+Datasheet!BS85</f>
        <v>55</v>
      </c>
      <c r="AM85" s="31">
        <f>100-Datasheet!BV85</f>
        <v>83</v>
      </c>
      <c r="AN85" s="121">
        <f>(Datasheet!CL85-Datasheet!CK85)/Datasheet!CK85</f>
        <v>0</v>
      </c>
    </row>
    <row r="86" spans="1:40">
      <c r="A86" s="42" t="s">
        <v>326</v>
      </c>
      <c r="B86" s="42" t="s">
        <v>327</v>
      </c>
      <c r="C86" s="42" t="s">
        <v>328</v>
      </c>
      <c r="D86" s="116">
        <f>Datasheet!G86/Datasheet!E86</f>
        <v>0.77567186007388556</v>
      </c>
      <c r="E86" s="116">
        <f>Datasheet!I86/Datasheet!E86</f>
        <v>0.22432813992611442</v>
      </c>
      <c r="F86" s="116">
        <f>(Datasheet!E86-Datasheet!D86)/Datasheet!D86</f>
        <v>9.9123793241221669E-2</v>
      </c>
      <c r="G86" s="116">
        <f>(Datasheet!G86-Datasheet!F86)/Datasheet!F86</f>
        <v>7.4150384565856167E-2</v>
      </c>
      <c r="H86" s="116">
        <f>(Datasheet!I86-Datasheet!H86)/Datasheet!H86</f>
        <v>0.19520763895144583</v>
      </c>
      <c r="I86" s="116">
        <f>(Datasheet!K86-Datasheet!J86)/Datasheet!J86</f>
        <v>0.21132494448556624</v>
      </c>
      <c r="J86" s="116">
        <f>Datasheet!F86/Datasheet!D86</f>
        <v>0.79370580637967725</v>
      </c>
      <c r="K86" s="116">
        <f>Datasheet!H86/Datasheet!D86</f>
        <v>0.20629419362032278</v>
      </c>
      <c r="L86" s="116">
        <f>Datasheet!R86/Datasheet!Q86</f>
        <v>0.86428571428571432</v>
      </c>
      <c r="M86" s="117">
        <f>(Datasheet!AB86-Datasheet!AA86)/Datasheet!AA86</f>
        <v>-6.8087318087318091E-2</v>
      </c>
      <c r="N86" s="118">
        <f>Datasheet!AC86/Datasheet!E86</f>
        <v>4.5988283132275487E-2</v>
      </c>
      <c r="O86" s="111">
        <f>SUM(Datasheet!AD86:AG86)</f>
        <v>1735</v>
      </c>
      <c r="P86" s="111">
        <f>SUM(Datasheet!AH86:AK86)</f>
        <v>2440</v>
      </c>
      <c r="Q86" s="111">
        <f t="shared" si="1"/>
        <v>4175</v>
      </c>
      <c r="R86" s="118">
        <f>Q86/Datasheet!AC86</f>
        <v>0.76746323529411764</v>
      </c>
      <c r="S86" s="118">
        <f>Datasheet!AL86/Datasheet!G86</f>
        <v>2.1742684322380253E-2</v>
      </c>
      <c r="T86" s="118">
        <f>Datasheet!AM86/Datasheet!I86</f>
        <v>0.12982363581549594</v>
      </c>
      <c r="U86" s="119">
        <f>O86/Datasheet!AL86</f>
        <v>0.86967418546365916</v>
      </c>
      <c r="V86" s="119">
        <f>P86/Datasheet!AM86</f>
        <v>0.70827285921625549</v>
      </c>
      <c r="W86" s="120">
        <f>((Datasheet!AP86-Datasheet!AO86)/Datasheet!AO86)*100</f>
        <v>6.3133554444807771</v>
      </c>
      <c r="X86" s="119">
        <f>Datasheet!AQ86/Datasheet!AR86</f>
        <v>0.48260841255371795</v>
      </c>
      <c r="Y86" s="111">
        <f>Datasheet!AV86+Datasheet!AS86</f>
        <v>33132</v>
      </c>
      <c r="Z86" s="117">
        <f>Datasheet!AW86/(Datasheet!AS86+Datasheet!AV86)</f>
        <v>0.59576844138597129</v>
      </c>
      <c r="AA86" s="111">
        <f>Datasheet!AX86+Datasheet!AT86</f>
        <v>39486</v>
      </c>
      <c r="AB86" s="119">
        <f>Datasheet!AY86/(Datasheet!AT86+Datasheet!AX86)</f>
        <v>0.55214506407334241</v>
      </c>
      <c r="AC86" s="119">
        <f>Datasheet!AU86/(Datasheet!AU86+Datasheet!AZ86)</f>
        <v>0.95160526004027957</v>
      </c>
      <c r="AD86" s="119">
        <f>Datasheet!AZ86/(Datasheet!AU86+Datasheet!AZ86)</f>
        <v>4.8394739959720413E-2</v>
      </c>
      <c r="AE86" s="117">
        <f>(Datasheet!BB86-Datasheet!BA86)/Datasheet!BA86</f>
        <v>3.6214092806285292E-2</v>
      </c>
      <c r="AF86" s="118">
        <f>(Datasheet!AX86+Datasheet!AT86)/Datasheet!BB86</f>
        <v>0.58473522094538566</v>
      </c>
      <c r="AG86" s="111">
        <f>(Datasheet!AP86*1000)/Datasheet!E86</f>
        <v>769.5767218131557</v>
      </c>
      <c r="AH86" s="119">
        <f>Datasheet!BW86/SUM(Datasheet!$BW86:$BZ86)</f>
        <v>0.66403162055335974</v>
      </c>
      <c r="AI86" s="119">
        <f>Datasheet!BX86/SUM(Datasheet!$BW86:$BZ86)</f>
        <v>0.10276679841897234</v>
      </c>
      <c r="AJ86" s="119">
        <f>Datasheet!BY86/SUM(Datasheet!$BW86:$BZ86)</f>
        <v>4.3478260869565216E-2</v>
      </c>
      <c r="AK86" s="119">
        <f>Datasheet!BZ86/SUM(Datasheet!$BW86:$BZ86)</f>
        <v>0.18972332015810275</v>
      </c>
      <c r="AL86" s="31">
        <f>Datasheet!BR86+Datasheet!BS86</f>
        <v>18</v>
      </c>
      <c r="AM86" s="31">
        <f>100-Datasheet!BV86</f>
        <v>18</v>
      </c>
      <c r="AN86" s="121">
        <f>(Datasheet!CL86-Datasheet!CK86)/Datasheet!CK86</f>
        <v>-7.6576576576576572E-2</v>
      </c>
    </row>
    <row r="87" spans="1:40">
      <c r="A87" s="42" t="s">
        <v>329</v>
      </c>
      <c r="B87" s="42" t="s">
        <v>330</v>
      </c>
      <c r="C87" s="42" t="s">
        <v>331</v>
      </c>
      <c r="D87" s="116">
        <f>Datasheet!G87/Datasheet!E87</f>
        <v>0.80946985129354243</v>
      </c>
      <c r="E87" s="116">
        <f>Datasheet!I87/Datasheet!E87</f>
        <v>0.19053014870645751</v>
      </c>
      <c r="F87" s="116">
        <f>(Datasheet!E87-Datasheet!D87)/Datasheet!D87</f>
        <v>0.16024580477428504</v>
      </c>
      <c r="G87" s="116">
        <f>(Datasheet!G87-Datasheet!F87)/Datasheet!F87</f>
        <v>0.12423081457031711</v>
      </c>
      <c r="H87" s="116">
        <f>(Datasheet!I87-Datasheet!H87)/Datasheet!H87</f>
        <v>0.34303577838937416</v>
      </c>
      <c r="I87" s="116">
        <f>(Datasheet!K87-Datasheet!J87)/Datasheet!J87</f>
        <v>0.31623711340206184</v>
      </c>
      <c r="J87" s="116">
        <f>Datasheet!F87/Datasheet!D87</f>
        <v>0.83540140234775073</v>
      </c>
      <c r="K87" s="116">
        <f>Datasheet!H87/Datasheet!D87</f>
        <v>0.16459859765224927</v>
      </c>
      <c r="L87" s="116">
        <f>Datasheet!R87/Datasheet!Q87</f>
        <v>0.92800000000000005</v>
      </c>
      <c r="M87" s="117">
        <f>(Datasheet!AB87-Datasheet!AA87)/Datasheet!AA87</f>
        <v>4.4665012406947889E-2</v>
      </c>
      <c r="N87" s="118">
        <f>Datasheet!AC87/Datasheet!E87</f>
        <v>1.5129524003530929E-2</v>
      </c>
      <c r="O87" s="111">
        <f>SUM(Datasheet!AD87:AG87)</f>
        <v>1335</v>
      </c>
      <c r="P87" s="111">
        <f>SUM(Datasheet!AH87:AK87)</f>
        <v>1380</v>
      </c>
      <c r="Q87" s="111">
        <f t="shared" si="1"/>
        <v>2715</v>
      </c>
      <c r="R87" s="118">
        <f>Q87/Datasheet!AC87</f>
        <v>0.76157082748948102</v>
      </c>
      <c r="S87" s="118">
        <f>Datasheet!AL87/Datasheet!G87</f>
        <v>7.5758767307863711E-3</v>
      </c>
      <c r="T87" s="118">
        <f>Datasheet!AM87/Datasheet!I87</f>
        <v>4.7221294130749526E-2</v>
      </c>
      <c r="U87" s="119">
        <f>O87/Datasheet!AL87</f>
        <v>0.92387543252595161</v>
      </c>
      <c r="V87" s="119">
        <f>P87/Datasheet!AM87</f>
        <v>0.65094339622641506</v>
      </c>
      <c r="W87" s="120">
        <f>((Datasheet!AP87-Datasheet!AO87)/Datasheet!AO87)*100</f>
        <v>7.2075368151468036</v>
      </c>
      <c r="X87" s="119">
        <f>Datasheet!AQ87/Datasheet!AR87</f>
        <v>0.44100129318307779</v>
      </c>
      <c r="Y87" s="111">
        <f>Datasheet!AV87+Datasheet!AS87</f>
        <v>57322</v>
      </c>
      <c r="Z87" s="117">
        <f>Datasheet!AW87/(Datasheet!AS87+Datasheet!AV87)</f>
        <v>0.56658874428666128</v>
      </c>
      <c r="AA87" s="111">
        <f>Datasheet!AX87+Datasheet!AT87</f>
        <v>58376</v>
      </c>
      <c r="AB87" s="119">
        <f>Datasheet!AY87/(Datasheet!AT87+Datasheet!AX87)</f>
        <v>0.64358640537207068</v>
      </c>
      <c r="AC87" s="119">
        <f>Datasheet!AU87/(Datasheet!AU87+Datasheet!AZ87)</f>
        <v>0.98309214195555816</v>
      </c>
      <c r="AD87" s="119">
        <f>Datasheet!AZ87/(Datasheet!AU87+Datasheet!AZ87)</f>
        <v>1.6907858044441837E-2</v>
      </c>
      <c r="AE87" s="117">
        <f>(Datasheet!BB87-Datasheet!BA87)/Datasheet!BA87</f>
        <v>0.1784898872258481</v>
      </c>
      <c r="AF87" s="118">
        <f>(Datasheet!AX87+Datasheet!AT87)/Datasheet!BB87</f>
        <v>0.57118814884394475</v>
      </c>
      <c r="AG87" s="111">
        <f>(Datasheet!AP87*1000)/Datasheet!E87</f>
        <v>596.91383173762472</v>
      </c>
      <c r="AH87" s="119">
        <f>Datasheet!BW87/SUM(Datasheet!$BW87:$BZ87)</f>
        <v>0.77808219178082194</v>
      </c>
      <c r="AI87" s="119">
        <f>Datasheet!BX87/SUM(Datasheet!$BW87:$BZ87)</f>
        <v>8.2191780821917804E-2</v>
      </c>
      <c r="AJ87" s="119">
        <f>Datasheet!BY87/SUM(Datasheet!$BW87:$BZ87)</f>
        <v>3.0136986301369864E-2</v>
      </c>
      <c r="AK87" s="119">
        <f>Datasheet!BZ87/SUM(Datasheet!$BW87:$BZ87)</f>
        <v>0.1095890410958904</v>
      </c>
      <c r="AL87" s="31">
        <f>Datasheet!BR87+Datasheet!BS87</f>
        <v>47</v>
      </c>
      <c r="AM87" s="31">
        <f>100-Datasheet!BV87</f>
        <v>61</v>
      </c>
      <c r="AN87" s="121">
        <f>(Datasheet!CL87-Datasheet!CK87)/Datasheet!CK87</f>
        <v>0.29518072289156627</v>
      </c>
    </row>
    <row r="88" spans="1:40">
      <c r="A88" s="42" t="s">
        <v>332</v>
      </c>
      <c r="B88" s="42" t="s">
        <v>333</v>
      </c>
      <c r="C88" s="42" t="s">
        <v>334</v>
      </c>
      <c r="D88" s="116">
        <f>Datasheet!G88/Datasheet!E88</f>
        <v>0.81413842419873694</v>
      </c>
      <c r="E88" s="116">
        <f>Datasheet!I88/Datasheet!E88</f>
        <v>0.185861575801263</v>
      </c>
      <c r="F88" s="116">
        <f>(Datasheet!E88-Datasheet!D88)/Datasheet!D88</f>
        <v>0.12304022253512636</v>
      </c>
      <c r="G88" s="116">
        <f>(Datasheet!G88-Datasheet!F88)/Datasheet!F88</f>
        <v>0.11401244478022267</v>
      </c>
      <c r="H88" s="116">
        <f>(Datasheet!I88-Datasheet!H88)/Datasheet!H88</f>
        <v>0.16437270303379692</v>
      </c>
      <c r="I88" s="116">
        <f>(Datasheet!K88-Datasheet!J88)/Datasheet!J88</f>
        <v>0.1517516475893167</v>
      </c>
      <c r="J88" s="116">
        <f>Datasheet!F88/Datasheet!D88</f>
        <v>0.82073607110100633</v>
      </c>
      <c r="K88" s="116">
        <f>Datasheet!H88/Datasheet!D88</f>
        <v>0.17926392889899367</v>
      </c>
      <c r="L88" s="116">
        <f>Datasheet!R88/Datasheet!Q88</f>
        <v>0.8529411764705882</v>
      </c>
      <c r="M88" s="117">
        <f>(Datasheet!AB88-Datasheet!AA88)/Datasheet!AA88</f>
        <v>8.8156381755461859E-3</v>
      </c>
      <c r="N88" s="118">
        <f>Datasheet!AC88/Datasheet!E88</f>
        <v>1.9228778368678756E-2</v>
      </c>
      <c r="O88" s="111">
        <f>SUM(Datasheet!AD88:AG88)</f>
        <v>1505</v>
      </c>
      <c r="P88" s="111">
        <f>SUM(Datasheet!AH88:AK88)</f>
        <v>1860</v>
      </c>
      <c r="Q88" s="111">
        <f t="shared" si="1"/>
        <v>3365</v>
      </c>
      <c r="R88" s="118">
        <f>Q88/Datasheet!AC88</f>
        <v>0.67098703888334998</v>
      </c>
      <c r="S88" s="118">
        <f>Datasheet!AL88/Datasheet!G88</f>
        <v>8.0533878389134044E-3</v>
      </c>
      <c r="T88" s="118">
        <f>Datasheet!AM88/Datasheet!I88</f>
        <v>6.8180880472005614E-2</v>
      </c>
      <c r="U88" s="119">
        <f>O88/Datasheet!AL88</f>
        <v>0.88011695906432752</v>
      </c>
      <c r="V88" s="119">
        <f>P88/Datasheet!AM88</f>
        <v>0.56278366111951583</v>
      </c>
      <c r="W88" s="120">
        <f>((Datasheet!AP88-Datasheet!AO88)/Datasheet!AO88)*100</f>
        <v>7.1462822154423344</v>
      </c>
      <c r="X88" s="119">
        <f>Datasheet!AQ88/Datasheet!AR88</f>
        <v>0.60689859311881877</v>
      </c>
      <c r="Y88" s="111">
        <f>Datasheet!AV88+Datasheet!AS88</f>
        <v>96401</v>
      </c>
      <c r="Z88" s="117">
        <f>Datasheet!AW88/(Datasheet!AS88+Datasheet!AV88)</f>
        <v>0.76497131772491989</v>
      </c>
      <c r="AA88" s="111">
        <f>Datasheet!AX88+Datasheet!AT88</f>
        <v>79785</v>
      </c>
      <c r="AB88" s="119">
        <f>Datasheet!AY88/(Datasheet!AT88+Datasheet!AX88)</f>
        <v>0.44492072444695119</v>
      </c>
      <c r="AC88" s="119">
        <f>Datasheet!AU88/(Datasheet!AU88+Datasheet!AZ88)</f>
        <v>0.95953454109597591</v>
      </c>
      <c r="AD88" s="119">
        <f>Datasheet!AZ88/(Datasheet!AU88+Datasheet!AZ88)</f>
        <v>4.0465458904024074E-2</v>
      </c>
      <c r="AE88" s="117">
        <f>(Datasheet!BB88-Datasheet!BA88)/Datasheet!BA88</f>
        <v>0.11587438698172091</v>
      </c>
      <c r="AF88" s="118">
        <f>(Datasheet!AX88+Datasheet!AT88)/Datasheet!BB88</f>
        <v>0.49807723521406366</v>
      </c>
      <c r="AG88" s="111">
        <f>(Datasheet!AP88*1000)/Datasheet!E88</f>
        <v>779.65315348130991</v>
      </c>
      <c r="AH88" s="119">
        <f>Datasheet!BW88/SUM(Datasheet!$BW88:$BZ88)</f>
        <v>0.73949579831932777</v>
      </c>
      <c r="AI88" s="119">
        <f>Datasheet!BX88/SUM(Datasheet!$BW88:$BZ88)</f>
        <v>7.8431372549019607E-2</v>
      </c>
      <c r="AJ88" s="119">
        <f>Datasheet!BY88/SUM(Datasheet!$BW88:$BZ88)</f>
        <v>4.7619047619047616E-2</v>
      </c>
      <c r="AK88" s="119">
        <f>Datasheet!BZ88/SUM(Datasheet!$BW88:$BZ88)</f>
        <v>0.13445378151260504</v>
      </c>
      <c r="AL88" s="31">
        <f>Datasheet!BR88+Datasheet!BS88</f>
        <v>21</v>
      </c>
      <c r="AM88" s="31">
        <f>100-Datasheet!BV88</f>
        <v>26</v>
      </c>
      <c r="AN88" s="121">
        <f>(Datasheet!CL88-Datasheet!CK88)/Datasheet!CK88</f>
        <v>7.6315789473684212E-2</v>
      </c>
    </row>
    <row r="89" spans="1:40">
      <c r="A89" s="42" t="s">
        <v>335</v>
      </c>
      <c r="B89" s="42" t="s">
        <v>336</v>
      </c>
      <c r="C89" s="42" t="s">
        <v>337</v>
      </c>
      <c r="D89" s="116">
        <f>Datasheet!G89/Datasheet!E89</f>
        <v>0.90135065074972565</v>
      </c>
      <c r="E89" s="116">
        <f>Datasheet!I89/Datasheet!E89</f>
        <v>9.8649349250274368E-2</v>
      </c>
      <c r="F89" s="116">
        <f>(Datasheet!E89-Datasheet!D89)/Datasheet!D89</f>
        <v>0.20160677011698841</v>
      </c>
      <c r="G89" s="116">
        <f>(Datasheet!G89-Datasheet!F89)/Datasheet!F89</f>
        <v>0.18850377762191819</v>
      </c>
      <c r="H89" s="116">
        <f>(Datasheet!I89-Datasheet!H89)/Datasheet!H89</f>
        <v>0.33620611035111719</v>
      </c>
      <c r="I89" s="116">
        <f>(Datasheet!K89-Datasheet!J89)/Datasheet!J89</f>
        <v>0.26433915211970077</v>
      </c>
      <c r="J89" s="116">
        <f>Datasheet!F89/Datasheet!D89</f>
        <v>0.91128784323878254</v>
      </c>
      <c r="K89" s="116">
        <f>Datasheet!H89/Datasheet!D89</f>
        <v>8.8712156761217451E-2</v>
      </c>
      <c r="L89" s="116">
        <f>Datasheet!R89/Datasheet!Q89</f>
        <v>0.89610389610389607</v>
      </c>
      <c r="M89" s="117">
        <f>(Datasheet!AB89-Datasheet!AA89)/Datasheet!AA89</f>
        <v>-1.1627906976744186E-2</v>
      </c>
      <c r="N89" s="118">
        <f>Datasheet!AC89/Datasheet!E89</f>
        <v>1.7068293372654371E-2</v>
      </c>
      <c r="O89" s="111">
        <f>SUM(Datasheet!AD89:AG89)</f>
        <v>2155</v>
      </c>
      <c r="P89" s="111">
        <f>SUM(Datasheet!AH89:AK89)</f>
        <v>2315</v>
      </c>
      <c r="Q89" s="111">
        <f t="shared" si="1"/>
        <v>4470</v>
      </c>
      <c r="R89" s="118">
        <f>Q89/Datasheet!AC89</f>
        <v>0.88165680473372776</v>
      </c>
      <c r="S89" s="118">
        <f>Datasheet!AL89/Datasheet!G89</f>
        <v>8.5717807267525464E-3</v>
      </c>
      <c r="T89" s="118">
        <f>Datasheet!AM89/Datasheet!I89</f>
        <v>9.470020134457223E-2</v>
      </c>
      <c r="U89" s="119">
        <f>O89/Datasheet!AL89</f>
        <v>0.93899782135076248</v>
      </c>
      <c r="V89" s="119">
        <f>P89/Datasheet!AM89</f>
        <v>0.83423423423423426</v>
      </c>
      <c r="W89" s="120">
        <f>((Datasheet!AP89-Datasheet!AO89)/Datasheet!AO89)*100</f>
        <v>2.1558896092719033</v>
      </c>
      <c r="X89" s="119">
        <f>Datasheet!AQ89/Datasheet!AR89</f>
        <v>0.44692432987393832</v>
      </c>
      <c r="Y89" s="111">
        <f>Datasheet!AV89+Datasheet!AS89</f>
        <v>69647</v>
      </c>
      <c r="Z89" s="117">
        <f>Datasheet!AW89/(Datasheet!AS89+Datasheet!AV89)</f>
        <v>0.53024538027481438</v>
      </c>
      <c r="AA89" s="111">
        <f>Datasheet!AX89+Datasheet!AT89</f>
        <v>54554</v>
      </c>
      <c r="AB89" s="119">
        <f>Datasheet!AY89/(Datasheet!AT89+Datasheet!AX89)</f>
        <v>0.82620889393994945</v>
      </c>
      <c r="AC89" s="119">
        <f>Datasheet!AU89/(Datasheet!AU89+Datasheet!AZ89)</f>
        <v>0.97008975460708491</v>
      </c>
      <c r="AD89" s="119">
        <f>Datasheet!AZ89/(Datasheet!AU89+Datasheet!AZ89)</f>
        <v>2.9910245392915116E-2</v>
      </c>
      <c r="AE89" s="117">
        <f>(Datasheet!BB89-Datasheet!BA89)/Datasheet!BA89</f>
        <v>8.5819444804437414E-2</v>
      </c>
      <c r="AF89" s="118">
        <f>(Datasheet!AX89+Datasheet!AT89)/Datasheet!BB89</f>
        <v>0.43408447117985932</v>
      </c>
      <c r="AG89" s="111">
        <f>(Datasheet!AP89*1000)/Datasheet!E89</f>
        <v>479.52141448010718</v>
      </c>
      <c r="AH89" s="119">
        <f>Datasheet!BW89/SUM(Datasheet!$BW89:$BZ89)</f>
        <v>0.78048780487804881</v>
      </c>
      <c r="AI89" s="119">
        <f>Datasheet!BX89/SUM(Datasheet!$BW89:$BZ89)</f>
        <v>9.7560975609756101E-2</v>
      </c>
      <c r="AJ89" s="119">
        <f>Datasheet!BY89/SUM(Datasheet!$BW89:$BZ89)</f>
        <v>3.9024390243902439E-2</v>
      </c>
      <c r="AK89" s="119">
        <f>Datasheet!BZ89/SUM(Datasheet!$BW89:$BZ89)</f>
        <v>8.2926829268292687E-2</v>
      </c>
      <c r="AL89" s="31">
        <f>Datasheet!BR89+Datasheet!BS89</f>
        <v>58</v>
      </c>
      <c r="AM89" s="31">
        <f>100-Datasheet!BV89</f>
        <v>89</v>
      </c>
      <c r="AN89" s="121">
        <f>(Datasheet!CL89-Datasheet!CK89)/Datasheet!CK89</f>
        <v>-7.5098814229249009E-2</v>
      </c>
    </row>
    <row r="90" spans="1:40">
      <c r="A90" s="42" t="s">
        <v>338</v>
      </c>
      <c r="B90" s="42" t="s">
        <v>339</v>
      </c>
      <c r="C90" s="42" t="s">
        <v>340</v>
      </c>
      <c r="D90" s="116">
        <f>Datasheet!G90/Datasheet!E90</f>
        <v>0.69105250947335861</v>
      </c>
      <c r="E90" s="116">
        <f>Datasheet!I90/Datasheet!E90</f>
        <v>0.30894749052664139</v>
      </c>
      <c r="F90" s="116">
        <f>(Datasheet!E90-Datasheet!D90)/Datasheet!D90</f>
        <v>8.2229404289805255E-2</v>
      </c>
      <c r="G90" s="116">
        <f>(Datasheet!G90-Datasheet!F90)/Datasheet!F90</f>
        <v>5.3887507493931147E-2</v>
      </c>
      <c r="H90" s="116">
        <f>(Datasheet!I90-Datasheet!H90)/Datasheet!H90</f>
        <v>0.15149593589669683</v>
      </c>
      <c r="I90" s="116">
        <f>(Datasheet!K90-Datasheet!J90)/Datasheet!J90</f>
        <v>0.17469055717241139</v>
      </c>
      <c r="J90" s="116">
        <f>Datasheet!F90/Datasheet!D90</f>
        <v>0.70963678793263862</v>
      </c>
      <c r="K90" s="116">
        <f>Datasheet!H90/Datasheet!D90</f>
        <v>0.29036321206736143</v>
      </c>
      <c r="L90" s="116">
        <f>Datasheet!R90/Datasheet!Q90</f>
        <v>0.87697715289982425</v>
      </c>
      <c r="M90" s="117">
        <f>(Datasheet!AB90-Datasheet!AA90)/Datasheet!AA90</f>
        <v>3.2261286456252494E-2</v>
      </c>
      <c r="N90" s="118">
        <f>Datasheet!AC90/Datasheet!E90</f>
        <v>2.3232284174980022E-2</v>
      </c>
      <c r="O90" s="111">
        <f>SUM(Datasheet!AD90:AG90)</f>
        <v>5120</v>
      </c>
      <c r="P90" s="111">
        <f>SUM(Datasheet!AH90:AK90)</f>
        <v>6530</v>
      </c>
      <c r="Q90" s="111">
        <f t="shared" si="1"/>
        <v>11650</v>
      </c>
      <c r="R90" s="118">
        <f>Q90/Datasheet!AC90</f>
        <v>0.64632454923717064</v>
      </c>
      <c r="S90" s="118">
        <f>Datasheet!AL90/Datasheet!G90</f>
        <v>1.1479782154580722E-2</v>
      </c>
      <c r="T90" s="118">
        <f>Datasheet!AM90/Datasheet!I90</f>
        <v>4.9520233625365041E-2</v>
      </c>
      <c r="U90" s="119">
        <f>O90/Datasheet!AL90</f>
        <v>0.83184402924451661</v>
      </c>
      <c r="V90" s="119">
        <f>P90/Datasheet!AM90</f>
        <v>0.55012636899747258</v>
      </c>
      <c r="W90" s="120">
        <f>((Datasheet!AP90-Datasheet!AO90)/Datasheet!AO90)*100</f>
        <v>6.3956284322546617</v>
      </c>
      <c r="X90" s="119">
        <f>Datasheet!AQ90/Datasheet!AR90</f>
        <v>0.62141364512880304</v>
      </c>
      <c r="Y90" s="111">
        <f>Datasheet!AV90+Datasheet!AS90</f>
        <v>185711</v>
      </c>
      <c r="Z90" s="117">
        <f>Datasheet!AW90/(Datasheet!AS90+Datasheet!AV90)</f>
        <v>0.62062559568361597</v>
      </c>
      <c r="AA90" s="111">
        <f>Datasheet!AX90+Datasheet!AT90</f>
        <v>252360</v>
      </c>
      <c r="AB90" s="119">
        <f>Datasheet!AY90/(Datasheet!AT90+Datasheet!AX90)</f>
        <v>0.59728166111903624</v>
      </c>
      <c r="AC90" s="119">
        <f>Datasheet!AU90/(Datasheet!AU90+Datasheet!AZ90)</f>
        <v>0.96234534423421003</v>
      </c>
      <c r="AD90" s="119">
        <f>Datasheet!AZ90/(Datasheet!AU90+Datasheet!AZ90)</f>
        <v>3.7654655765789968E-2</v>
      </c>
      <c r="AE90" s="117">
        <f>(Datasheet!BB90-Datasheet!BA90)/Datasheet!BA90</f>
        <v>6.8883970776661418E-2</v>
      </c>
      <c r="AF90" s="118">
        <f>(Datasheet!AX90+Datasheet!AT90)/Datasheet!BB90</f>
        <v>0.63955639581738832</v>
      </c>
      <c r="AG90" s="111">
        <f>(Datasheet!AP90*1000)/Datasheet!E90</f>
        <v>707.1868636094141</v>
      </c>
      <c r="AH90" s="119">
        <f>Datasheet!BW90/SUM(Datasheet!$BW90:$BZ90)</f>
        <v>0.67729083665338641</v>
      </c>
      <c r="AI90" s="119">
        <f>Datasheet!BX90/SUM(Datasheet!$BW90:$BZ90)</f>
        <v>8.3665338645418322E-2</v>
      </c>
      <c r="AJ90" s="119">
        <f>Datasheet!BY90/SUM(Datasheet!$BW90:$BZ90)</f>
        <v>4.3824701195219126E-2</v>
      </c>
      <c r="AK90" s="119">
        <f>Datasheet!BZ90/SUM(Datasheet!$BW90:$BZ90)</f>
        <v>0.19521912350597609</v>
      </c>
      <c r="AL90" s="31">
        <f>Datasheet!BR90+Datasheet!BS90</f>
        <v>24</v>
      </c>
      <c r="AM90" s="31">
        <f>100-Datasheet!BV90</f>
        <v>20</v>
      </c>
      <c r="AN90" s="121">
        <f>(Datasheet!CL90-Datasheet!CK90)/Datasheet!CK90</f>
        <v>-2.5608194622279128E-2</v>
      </c>
    </row>
    <row r="91" spans="1:40">
      <c r="A91" s="42" t="s">
        <v>341</v>
      </c>
      <c r="B91" s="42" t="s">
        <v>342</v>
      </c>
      <c r="C91" s="42" t="s">
        <v>343</v>
      </c>
      <c r="D91" s="116">
        <f>Datasheet!G91/Datasheet!E91</f>
        <v>0.72192290120831171</v>
      </c>
      <c r="E91" s="116">
        <f>Datasheet!I91/Datasheet!E91</f>
        <v>0.27807709879168835</v>
      </c>
      <c r="F91" s="116">
        <f>(Datasheet!E91-Datasheet!D91)/Datasheet!D91</f>
        <v>1.2650756173824261E-2</v>
      </c>
      <c r="G91" s="116">
        <f>(Datasheet!G91-Datasheet!F91)/Datasheet!F91</f>
        <v>-2.8472391532484605E-2</v>
      </c>
      <c r="H91" s="116">
        <f>(Datasheet!I91-Datasheet!H91)/Datasheet!H91</f>
        <v>0.13766878283007317</v>
      </c>
      <c r="I91" s="116">
        <f>(Datasheet!K91-Datasheet!J91)/Datasheet!J91</f>
        <v>0.20119970007498125</v>
      </c>
      <c r="J91" s="116">
        <f>Datasheet!F91/Datasheet!D91</f>
        <v>0.7524806968285368</v>
      </c>
      <c r="K91" s="116">
        <f>Datasheet!H91/Datasheet!D91</f>
        <v>0.2475193031714632</v>
      </c>
      <c r="L91" s="116">
        <f>Datasheet!R91/Datasheet!Q91</f>
        <v>0.90909090909090906</v>
      </c>
      <c r="M91" s="117">
        <f>(Datasheet!AB91-Datasheet!AA91)/Datasheet!AA91</f>
        <v>4.9272116461366179E-2</v>
      </c>
      <c r="N91" s="118">
        <f>Datasheet!AC91/Datasheet!E91</f>
        <v>2.189769522819289E-2</v>
      </c>
      <c r="O91" s="111">
        <f>SUM(Datasheet!AD91:AG91)</f>
        <v>750</v>
      </c>
      <c r="P91" s="111">
        <f>SUM(Datasheet!AH91:AK91)</f>
        <v>1110</v>
      </c>
      <c r="Q91" s="111">
        <f t="shared" si="1"/>
        <v>1860</v>
      </c>
      <c r="R91" s="118">
        <f>Q91/Datasheet!AC91</f>
        <v>0.6690647482014388</v>
      </c>
      <c r="S91" s="118">
        <f>Datasheet!AL91/Datasheet!G91</f>
        <v>9.4925314508297783E-3</v>
      </c>
      <c r="T91" s="118">
        <f>Datasheet!AM91/Datasheet!I91</f>
        <v>5.4103050732232386E-2</v>
      </c>
      <c r="U91" s="119">
        <f>O91/Datasheet!AL91</f>
        <v>0.86206896551724133</v>
      </c>
      <c r="V91" s="119">
        <f>P91/Datasheet!AM91</f>
        <v>0.58115183246073299</v>
      </c>
      <c r="W91" s="120">
        <f>((Datasheet!AP91-Datasheet!AO91)/Datasheet!AO91)*100</f>
        <v>13.417045290875048</v>
      </c>
      <c r="X91" s="119">
        <f>Datasheet!AQ91/Datasheet!AR91</f>
        <v>0.47099266631744369</v>
      </c>
      <c r="Y91" s="111">
        <f>Datasheet!AV91+Datasheet!AS91</f>
        <v>37258</v>
      </c>
      <c r="Z91" s="117">
        <f>Datasheet!AW91/(Datasheet!AS91+Datasheet!AV91)</f>
        <v>0.59584518761071448</v>
      </c>
      <c r="AA91" s="111">
        <f>Datasheet!AX91+Datasheet!AT91</f>
        <v>33236</v>
      </c>
      <c r="AB91" s="119">
        <f>Datasheet!AY91/(Datasheet!AT91+Datasheet!AX91)</f>
        <v>0.77747021302202435</v>
      </c>
      <c r="AC91" s="119">
        <f>Datasheet!AU91/(Datasheet!AU91+Datasheet!AZ91)</f>
        <v>0.94948229660519767</v>
      </c>
      <c r="AD91" s="119">
        <f>Datasheet!AZ91/(Datasheet!AU91+Datasheet!AZ91)</f>
        <v>5.0517703394802355E-2</v>
      </c>
      <c r="AE91" s="117">
        <f>(Datasheet!BB91-Datasheet!BA91)/Datasheet!BA91</f>
        <v>8.635063906018535E-2</v>
      </c>
      <c r="AF91" s="118">
        <f>(Datasheet!AX91+Datasheet!AT91)/Datasheet!BB91</f>
        <v>0.5269951004487291</v>
      </c>
      <c r="AG91" s="111">
        <f>(Datasheet!AP91*1000)/Datasheet!E91</f>
        <v>682.29437434031229</v>
      </c>
      <c r="AH91" s="119">
        <f>Datasheet!BW91/SUM(Datasheet!$BW91:$BZ91)</f>
        <v>0.75392670157068065</v>
      </c>
      <c r="AI91" s="119">
        <f>Datasheet!BX91/SUM(Datasheet!$BW91:$BZ91)</f>
        <v>7.3298429319371722E-2</v>
      </c>
      <c r="AJ91" s="119">
        <f>Datasheet!BY91/SUM(Datasheet!$BW91:$BZ91)</f>
        <v>1.5706806282722512E-2</v>
      </c>
      <c r="AK91" s="119">
        <f>Datasheet!BZ91/SUM(Datasheet!$BW91:$BZ91)</f>
        <v>0.15706806282722513</v>
      </c>
      <c r="AL91" s="31">
        <f>Datasheet!BR91+Datasheet!BS91</f>
        <v>7</v>
      </c>
      <c r="AM91" s="31">
        <f>100-Datasheet!BV91</f>
        <v>7</v>
      </c>
      <c r="AN91" s="121">
        <f>(Datasheet!CL91-Datasheet!CK91)/Datasheet!CK91</f>
        <v>0.23118279569892472</v>
      </c>
    </row>
    <row r="92" spans="1:40">
      <c r="A92" s="42" t="s">
        <v>344</v>
      </c>
      <c r="B92" s="42" t="s">
        <v>345</v>
      </c>
      <c r="C92" s="42" t="s">
        <v>346</v>
      </c>
      <c r="D92" s="116">
        <f>Datasheet!G92/Datasheet!E92</f>
        <v>0.70857101280558787</v>
      </c>
      <c r="E92" s="116">
        <f>Datasheet!I92/Datasheet!E92</f>
        <v>0.29142898719441213</v>
      </c>
      <c r="F92" s="116">
        <f>(Datasheet!E92-Datasheet!D92)/Datasheet!D92</f>
        <v>2.3601522294464182E-2</v>
      </c>
      <c r="G92" s="116">
        <f>(Datasheet!G92-Datasheet!F92)/Datasheet!F92</f>
        <v>-2.8335960728753017E-2</v>
      </c>
      <c r="H92" s="116">
        <f>(Datasheet!I92-Datasheet!H92)/Datasheet!H92</f>
        <v>0.17650168894110735</v>
      </c>
      <c r="I92" s="116">
        <f>(Datasheet!K92-Datasheet!J92)/Datasheet!J92</f>
        <v>0.23895727733526431</v>
      </c>
      <c r="J92" s="116">
        <f>Datasheet!F92/Datasheet!D92</f>
        <v>0.74644562116912816</v>
      </c>
      <c r="K92" s="116">
        <f>Datasheet!H92/Datasheet!D92</f>
        <v>0.2535543788308719</v>
      </c>
      <c r="L92" s="116">
        <f>Datasheet!R92/Datasheet!Q92</f>
        <v>0.88172043010752688</v>
      </c>
      <c r="M92" s="117">
        <f>(Datasheet!AB92-Datasheet!AA92)/Datasheet!AA92</f>
        <v>-7.1574642126789366E-3</v>
      </c>
      <c r="N92" s="118">
        <f>Datasheet!AC92/Datasheet!E92</f>
        <v>1.8371653084982537E-2</v>
      </c>
      <c r="O92" s="111">
        <f>SUM(Datasheet!AD92:AG92)</f>
        <v>640</v>
      </c>
      <c r="P92" s="111">
        <f>SUM(Datasheet!AH92:AK92)</f>
        <v>850</v>
      </c>
      <c r="Q92" s="111">
        <f t="shared" si="1"/>
        <v>1490</v>
      </c>
      <c r="R92" s="118">
        <f>Q92/Datasheet!AC92</f>
        <v>0.59009900990099007</v>
      </c>
      <c r="S92" s="118">
        <f>Datasheet!AL92/Datasheet!G92</f>
        <v>8.4201014519540793E-3</v>
      </c>
      <c r="T92" s="118">
        <f>Datasheet!AM92/Datasheet!I92</f>
        <v>4.2567533829330401E-2</v>
      </c>
      <c r="U92" s="119">
        <f>O92/Datasheet!AL92</f>
        <v>0.78048780487804881</v>
      </c>
      <c r="V92" s="119">
        <f>P92/Datasheet!AM92</f>
        <v>0.49853372434017595</v>
      </c>
      <c r="W92" s="120">
        <f>((Datasheet!AP92-Datasheet!AO92)/Datasheet!AO92)*100</f>
        <v>11.94174429213458</v>
      </c>
      <c r="X92" s="119">
        <f>Datasheet!AQ92/Datasheet!AR92</f>
        <v>0.46002748763056622</v>
      </c>
      <c r="Y92" s="111">
        <f>Datasheet!AV92+Datasheet!AS92</f>
        <v>35045</v>
      </c>
      <c r="Z92" s="117">
        <f>Datasheet!AW92/(Datasheet!AS92+Datasheet!AV92)</f>
        <v>0.54863746611499498</v>
      </c>
      <c r="AA92" s="111">
        <f>Datasheet!AX92+Datasheet!AT92</f>
        <v>47544</v>
      </c>
      <c r="AB92" s="119">
        <f>Datasheet!AY92/(Datasheet!AT92+Datasheet!AX92)</f>
        <v>0.72349823321554774</v>
      </c>
      <c r="AC92" s="119">
        <f>Datasheet!AU92/(Datasheet!AU92+Datasheet!AZ92)</f>
        <v>0.85873007131646339</v>
      </c>
      <c r="AD92" s="119">
        <f>Datasheet!AZ92/(Datasheet!AU92+Datasheet!AZ92)</f>
        <v>0.14126992868353663</v>
      </c>
      <c r="AE92" s="117">
        <f>(Datasheet!BB92-Datasheet!BA92)/Datasheet!BA92</f>
        <v>0.17525039237577464</v>
      </c>
      <c r="AF92" s="118">
        <f>(Datasheet!AX92+Datasheet!AT92)/Datasheet!BB92</f>
        <v>0.65456948536498061</v>
      </c>
      <c r="AG92" s="111">
        <f>(Datasheet!AP92*1000)/Datasheet!E92</f>
        <v>723.10098952270084</v>
      </c>
      <c r="AH92" s="119">
        <f>Datasheet!BW92/SUM(Datasheet!$BW92:$BZ92)</f>
        <v>0.73619631901840488</v>
      </c>
      <c r="AI92" s="119">
        <f>Datasheet!BX92/SUM(Datasheet!$BW92:$BZ92)</f>
        <v>7.3619631901840496E-2</v>
      </c>
      <c r="AJ92" s="119">
        <f>Datasheet!BY92/SUM(Datasheet!$BW92:$BZ92)</f>
        <v>3.0674846625766871E-2</v>
      </c>
      <c r="AK92" s="119">
        <f>Datasheet!BZ92/SUM(Datasheet!$BW92:$BZ92)</f>
        <v>0.15950920245398773</v>
      </c>
      <c r="AL92" s="31">
        <f>Datasheet!BR92+Datasheet!BS92</f>
        <v>11</v>
      </c>
      <c r="AM92" s="31">
        <f>100-Datasheet!BV92</f>
        <v>13</v>
      </c>
      <c r="AN92" s="121">
        <f>(Datasheet!CL92-Datasheet!CK92)/Datasheet!CK92</f>
        <v>-0.23152709359605911</v>
      </c>
    </row>
    <row r="93" spans="1:40">
      <c r="A93" s="42" t="s">
        <v>347</v>
      </c>
      <c r="B93" s="42" t="s">
        <v>348</v>
      </c>
      <c r="C93" s="42" t="s">
        <v>349</v>
      </c>
      <c r="D93" s="116">
        <f>Datasheet!G93/Datasheet!E93</f>
        <v>0.7624176615718099</v>
      </c>
      <c r="E93" s="116">
        <f>Datasheet!I93/Datasheet!E93</f>
        <v>0.23758233842819013</v>
      </c>
      <c r="F93" s="116">
        <f>(Datasheet!E93-Datasheet!D93)/Datasheet!D93</f>
        <v>0.14306765366739513</v>
      </c>
      <c r="G93" s="116">
        <f>(Datasheet!G93-Datasheet!F93)/Datasheet!F93</f>
        <v>0.12778945062386107</v>
      </c>
      <c r="H93" s="116">
        <f>(Datasheet!I93-Datasheet!H93)/Datasheet!H93</f>
        <v>0.19501913114143501</v>
      </c>
      <c r="I93" s="116">
        <f>(Datasheet!K93-Datasheet!J93)/Datasheet!J93</f>
        <v>0.14847161572052403</v>
      </c>
      <c r="J93" s="116">
        <f>Datasheet!F93/Datasheet!D93</f>
        <v>0.77274616023885012</v>
      </c>
      <c r="K93" s="116">
        <f>Datasheet!H93/Datasheet!D93</f>
        <v>0.22725383976114993</v>
      </c>
      <c r="L93" s="116">
        <f>Datasheet!R93/Datasheet!Q93</f>
        <v>0.87692307692307692</v>
      </c>
      <c r="M93" s="117">
        <f>(Datasheet!AB93-Datasheet!AA93)/Datasheet!AA93</f>
        <v>4.3046357615894038E-2</v>
      </c>
      <c r="N93" s="118">
        <f>Datasheet!AC93/Datasheet!E93</f>
        <v>1.6324634715261344E-2</v>
      </c>
      <c r="O93" s="111">
        <f>SUM(Datasheet!AD93:AG93)</f>
        <v>1635</v>
      </c>
      <c r="P93" s="111">
        <f>SUM(Datasheet!AH93:AK93)</f>
        <v>1610</v>
      </c>
      <c r="Q93" s="111">
        <f t="shared" si="1"/>
        <v>3245</v>
      </c>
      <c r="R93" s="118">
        <f>Q93/Datasheet!AC93</f>
        <v>0.66907216494845356</v>
      </c>
      <c r="S93" s="118">
        <f>Datasheet!AL93/Datasheet!G93</f>
        <v>8.255633255633256E-3</v>
      </c>
      <c r="T93" s="118">
        <f>Datasheet!AM93/Datasheet!I93</f>
        <v>4.2218601685910608E-2</v>
      </c>
      <c r="U93" s="119">
        <f>O93/Datasheet!AL93</f>
        <v>0.87433155080213909</v>
      </c>
      <c r="V93" s="119">
        <f>P93/Datasheet!AM93</f>
        <v>0.54026845637583898</v>
      </c>
      <c r="W93" s="120">
        <f>((Datasheet!AP93-Datasheet!AO93)/Datasheet!AO93)*100</f>
        <v>11.753013511267913</v>
      </c>
      <c r="X93" s="119">
        <f>Datasheet!AQ93/Datasheet!AR93</f>
        <v>0.4826019039268839</v>
      </c>
      <c r="Y93" s="111">
        <f>Datasheet!AV93+Datasheet!AS93</f>
        <v>91929</v>
      </c>
      <c r="Z93" s="117">
        <f>Datasheet!AW93/(Datasheet!AS93+Datasheet!AV93)</f>
        <v>0.66589433149495802</v>
      </c>
      <c r="AA93" s="111">
        <f>Datasheet!AX93+Datasheet!AT93</f>
        <v>80226</v>
      </c>
      <c r="AB93" s="119">
        <f>Datasheet!AY93/(Datasheet!AT93+Datasheet!AX93)</f>
        <v>0.38800388901353677</v>
      </c>
      <c r="AC93" s="119">
        <f>Datasheet!AU93/(Datasheet!AU93+Datasheet!AZ93)</f>
        <v>0.93141394091823082</v>
      </c>
      <c r="AD93" s="119">
        <f>Datasheet!AZ93/(Datasheet!AU93+Datasheet!AZ93)</f>
        <v>6.8586059081769221E-2</v>
      </c>
      <c r="AE93" s="117">
        <f>(Datasheet!BB93-Datasheet!BA93)/Datasheet!BA93</f>
        <v>3.1388370232061882E-2</v>
      </c>
      <c r="AF93" s="118">
        <f>(Datasheet!AX93+Datasheet!AT93)/Datasheet!BB93</f>
        <v>0.518701468315801</v>
      </c>
      <c r="AG93" s="111">
        <f>(Datasheet!AP93*1000)/Datasheet!E93</f>
        <v>588.53169166972407</v>
      </c>
      <c r="AH93" s="119">
        <f>Datasheet!BW93/SUM(Datasheet!$BW93:$BZ93)</f>
        <v>0.75</v>
      </c>
      <c r="AI93" s="119">
        <f>Datasheet!BX93/SUM(Datasheet!$BW93:$BZ93)</f>
        <v>0.09</v>
      </c>
      <c r="AJ93" s="119">
        <f>Datasheet!BY93/SUM(Datasheet!$BW93:$BZ93)</f>
        <v>0.03</v>
      </c>
      <c r="AK93" s="119">
        <f>Datasheet!BZ93/SUM(Datasheet!$BW93:$BZ93)</f>
        <v>0.13</v>
      </c>
      <c r="AL93" s="31">
        <f>Datasheet!BR93+Datasheet!BS93</f>
        <v>31</v>
      </c>
      <c r="AM93" s="31">
        <f>100-Datasheet!BV93</f>
        <v>30</v>
      </c>
      <c r="AN93" s="121">
        <f>(Datasheet!CL93-Datasheet!CK93)/Datasheet!CK93</f>
        <v>-5.7803468208092484E-2</v>
      </c>
    </row>
    <row r="94" spans="1:40">
      <c r="A94" s="42" t="s">
        <v>350</v>
      </c>
      <c r="B94" s="42" t="s">
        <v>351</v>
      </c>
      <c r="C94" s="42" t="s">
        <v>352</v>
      </c>
      <c r="D94" s="116">
        <f>Datasheet!G94/Datasheet!E94</f>
        <v>0.69839882438419476</v>
      </c>
      <c r="E94" s="116">
        <f>Datasheet!I94/Datasheet!E94</f>
        <v>0.30160117561580524</v>
      </c>
      <c r="F94" s="116">
        <f>(Datasheet!E94-Datasheet!D94)/Datasheet!D94</f>
        <v>8.8719845839082642E-2</v>
      </c>
      <c r="G94" s="116">
        <f>(Datasheet!G94-Datasheet!F94)/Datasheet!F94</f>
        <v>6.985112596968962E-2</v>
      </c>
      <c r="H94" s="116">
        <f>(Datasheet!I94-Datasheet!H94)/Datasheet!H94</f>
        <v>0.1350767902300623</v>
      </c>
      <c r="I94" s="116">
        <f>(Datasheet!K94-Datasheet!J94)/Datasheet!J94</f>
        <v>0.160678355849382</v>
      </c>
      <c r="J94" s="116">
        <f>Datasheet!F94/Datasheet!D94</f>
        <v>0.71071632487985914</v>
      </c>
      <c r="K94" s="116">
        <f>Datasheet!H94/Datasheet!D94</f>
        <v>0.28928367512014086</v>
      </c>
      <c r="L94" s="116">
        <f>Datasheet!R94/Datasheet!Q94</f>
        <v>0.86206896551724133</v>
      </c>
      <c r="M94" s="117">
        <f>(Datasheet!AB94-Datasheet!AA94)/Datasheet!AA94</f>
        <v>4.002808988764045E-2</v>
      </c>
      <c r="N94" s="118">
        <f>Datasheet!AC94/Datasheet!E94</f>
        <v>1.8546541165673329E-2</v>
      </c>
      <c r="O94" s="111">
        <f>SUM(Datasheet!AD94:AG94)</f>
        <v>885</v>
      </c>
      <c r="P94" s="111">
        <f>SUM(Datasheet!AH94:AK94)</f>
        <v>970</v>
      </c>
      <c r="Q94" s="111">
        <f t="shared" si="1"/>
        <v>1855</v>
      </c>
      <c r="R94" s="118">
        <f>Q94/Datasheet!AC94</f>
        <v>0.54639175257731953</v>
      </c>
      <c r="S94" s="118">
        <f>Datasheet!AL94/Datasheet!G94</f>
        <v>8.9171177372422642E-3</v>
      </c>
      <c r="T94" s="118">
        <f>Datasheet!AM94/Datasheet!I94</f>
        <v>4.0844789798764693E-2</v>
      </c>
      <c r="U94" s="119">
        <f>O94/Datasheet!AL94</f>
        <v>0.77631578947368418</v>
      </c>
      <c r="V94" s="119">
        <f>P94/Datasheet!AM94</f>
        <v>0.43015521064301554</v>
      </c>
      <c r="W94" s="120">
        <f>((Datasheet!AP94-Datasheet!AO94)/Datasheet!AO94)*100</f>
        <v>6.0497549943460234</v>
      </c>
      <c r="X94" s="119">
        <f>Datasheet!AQ94/Datasheet!AR94</f>
        <v>0.50221344049019823</v>
      </c>
      <c r="Y94" s="111">
        <f>Datasheet!AV94+Datasheet!AS94</f>
        <v>59169</v>
      </c>
      <c r="Z94" s="117">
        <f>Datasheet!AW94/(Datasheet!AS94+Datasheet!AV94)</f>
        <v>0.6312596122969798</v>
      </c>
      <c r="AA94" s="111">
        <f>Datasheet!AX94+Datasheet!AT94</f>
        <v>62367</v>
      </c>
      <c r="AB94" s="119">
        <f>Datasheet!AY94/(Datasheet!AT94+Datasheet!AX94)</f>
        <v>0.65829685570894869</v>
      </c>
      <c r="AC94" s="119">
        <f>Datasheet!AU94/(Datasheet!AU94+Datasheet!AZ94)</f>
        <v>0.94751863424511673</v>
      </c>
      <c r="AD94" s="119">
        <f>Datasheet!AZ94/(Datasheet!AU94+Datasheet!AZ94)</f>
        <v>5.2481365754883304E-2</v>
      </c>
      <c r="AE94" s="117">
        <f>(Datasheet!BB94-Datasheet!BA94)/Datasheet!BA94</f>
        <v>0.13947289905519641</v>
      </c>
      <c r="AF94" s="118">
        <f>(Datasheet!AX94+Datasheet!AT94)/Datasheet!BB94</f>
        <v>0.54433815699897015</v>
      </c>
      <c r="AG94" s="111">
        <f>(Datasheet!AP94*1000)/Datasheet!E94</f>
        <v>768.493277903121</v>
      </c>
      <c r="AH94" s="119">
        <f>Datasheet!BW94/SUM(Datasheet!$BW94:$BZ94)</f>
        <v>0.67669172932330823</v>
      </c>
      <c r="AI94" s="119">
        <f>Datasheet!BX94/SUM(Datasheet!$BW94:$BZ94)</f>
        <v>8.2706766917293228E-2</v>
      </c>
      <c r="AJ94" s="119">
        <f>Datasheet!BY94/SUM(Datasheet!$BW94:$BZ94)</f>
        <v>6.0150375939849621E-2</v>
      </c>
      <c r="AK94" s="119">
        <f>Datasheet!BZ94/SUM(Datasheet!$BW94:$BZ94)</f>
        <v>0.18045112781954886</v>
      </c>
      <c r="AL94" s="31">
        <f>Datasheet!BR94+Datasheet!BS94</f>
        <v>30</v>
      </c>
      <c r="AM94" s="31">
        <f>100-Datasheet!BV94</f>
        <v>25</v>
      </c>
      <c r="AN94" s="121">
        <f>(Datasheet!CL94-Datasheet!CK94)/Datasheet!CK94</f>
        <v>-0.39178082191780822</v>
      </c>
    </row>
    <row r="95" spans="1:40">
      <c r="A95" s="42" t="s">
        <v>353</v>
      </c>
      <c r="B95" s="42" t="s">
        <v>354</v>
      </c>
      <c r="C95" s="42" t="s">
        <v>355</v>
      </c>
      <c r="D95" s="116">
        <f>Datasheet!G95/Datasheet!E95</f>
        <v>0.73163623797730803</v>
      </c>
      <c r="E95" s="116">
        <f>Datasheet!I95/Datasheet!E95</f>
        <v>0.26836376202269191</v>
      </c>
      <c r="F95" s="116">
        <f>(Datasheet!E95-Datasheet!D95)/Datasheet!D95</f>
        <v>6.8124215654912765E-2</v>
      </c>
      <c r="G95" s="116">
        <f>(Datasheet!G95-Datasheet!F95)/Datasheet!F95</f>
        <v>2.941557810119607E-2</v>
      </c>
      <c r="H95" s="116">
        <f>(Datasheet!I95-Datasheet!H95)/Datasheet!H95</f>
        <v>0.19013077237433593</v>
      </c>
      <c r="I95" s="116">
        <f>(Datasheet!K95-Datasheet!J95)/Datasheet!J95</f>
        <v>0.11836734693877551</v>
      </c>
      <c r="J95" s="116">
        <f>Datasheet!F95/Datasheet!D95</f>
        <v>0.75914761682128007</v>
      </c>
      <c r="K95" s="116">
        <f>Datasheet!H95/Datasheet!D95</f>
        <v>0.24085238317871996</v>
      </c>
      <c r="L95" s="116">
        <f>Datasheet!R95/Datasheet!Q95</f>
        <v>0.86577181208053688</v>
      </c>
      <c r="M95" s="117">
        <f>(Datasheet!AB95-Datasheet!AA95)/Datasheet!AA95</f>
        <v>2.4361948955916472E-2</v>
      </c>
      <c r="N95" s="118">
        <f>Datasheet!AC95/Datasheet!E95</f>
        <v>2.5082071070667511E-2</v>
      </c>
      <c r="O95" s="111">
        <f>SUM(Datasheet!AD95:AG95)</f>
        <v>1070</v>
      </c>
      <c r="P95" s="111">
        <f>SUM(Datasheet!AH95:AK95)</f>
        <v>1770</v>
      </c>
      <c r="Q95" s="111">
        <f t="shared" si="1"/>
        <v>2840</v>
      </c>
      <c r="R95" s="118">
        <f>Q95/Datasheet!AC95</f>
        <v>0.65212399540757748</v>
      </c>
      <c r="S95" s="118">
        <f>Datasheet!AL95/Datasheet!G95</f>
        <v>9.4856495111544942E-3</v>
      </c>
      <c r="T95" s="118">
        <f>Datasheet!AM95/Datasheet!I95</f>
        <v>6.7602369302086018E-2</v>
      </c>
      <c r="U95" s="119">
        <f>O95/Datasheet!AL95</f>
        <v>0.88796680497925307</v>
      </c>
      <c r="V95" s="119">
        <f>P95/Datasheet!AM95</f>
        <v>0.56190476190476191</v>
      </c>
      <c r="W95" s="120">
        <f>((Datasheet!AP95-Datasheet!AO95)/Datasheet!AO95)*100</f>
        <v>7.36784418011284</v>
      </c>
      <c r="X95" s="119">
        <f>Datasheet!AQ95/Datasheet!AR95</f>
        <v>0.45426085810320965</v>
      </c>
      <c r="Y95" s="111">
        <f>Datasheet!AV95+Datasheet!AS95</f>
        <v>43305</v>
      </c>
      <c r="Z95" s="117">
        <f>Datasheet!AW95/(Datasheet!AS95+Datasheet!AV95)</f>
        <v>0.71275834199284149</v>
      </c>
      <c r="AA95" s="111">
        <f>Datasheet!AX95+Datasheet!AT95</f>
        <v>56292</v>
      </c>
      <c r="AB95" s="119">
        <f>Datasheet!AY95/(Datasheet!AT95+Datasheet!AX95)</f>
        <v>0.61305336459887727</v>
      </c>
      <c r="AC95" s="119">
        <f>Datasheet!AU95/(Datasheet!AU95+Datasheet!AZ95)</f>
        <v>0.95166539564558916</v>
      </c>
      <c r="AD95" s="119">
        <f>Datasheet!AZ95/(Datasheet!AU95+Datasheet!AZ95)</f>
        <v>4.8334604354410803E-2</v>
      </c>
      <c r="AE95" s="117">
        <f>(Datasheet!BB95-Datasheet!BA95)/Datasheet!BA95</f>
        <v>5.7004995458673935E-2</v>
      </c>
      <c r="AF95" s="118">
        <f>(Datasheet!AX95+Datasheet!AT95)/Datasheet!BB95</f>
        <v>0.60463367740410956</v>
      </c>
      <c r="AG95" s="111">
        <f>(Datasheet!AP95*1000)/Datasheet!E95</f>
        <v>688.29695329148194</v>
      </c>
      <c r="AH95" s="119">
        <f>Datasheet!BW95/SUM(Datasheet!$BW95:$BZ95)</f>
        <v>0.7531380753138075</v>
      </c>
      <c r="AI95" s="119">
        <f>Datasheet!BX95/SUM(Datasheet!$BW95:$BZ95)</f>
        <v>7.1129707112970716E-2</v>
      </c>
      <c r="AJ95" s="119">
        <f>Datasheet!BY95/SUM(Datasheet!$BW95:$BZ95)</f>
        <v>4.1841004184100417E-2</v>
      </c>
      <c r="AK95" s="119">
        <f>Datasheet!BZ95/SUM(Datasheet!$BW95:$BZ95)</f>
        <v>0.13389121338912133</v>
      </c>
      <c r="AL95" s="31">
        <f>Datasheet!BR95+Datasheet!BS95</f>
        <v>16</v>
      </c>
      <c r="AM95" s="31">
        <f>100-Datasheet!BV95</f>
        <v>18</v>
      </c>
      <c r="AN95" s="121">
        <f>(Datasheet!CL95-Datasheet!CK95)/Datasheet!CK95</f>
        <v>0.29446064139941691</v>
      </c>
    </row>
    <row r="96" spans="1:40">
      <c r="A96" s="42" t="s">
        <v>356</v>
      </c>
      <c r="B96" s="42" t="s">
        <v>357</v>
      </c>
      <c r="C96" s="42" t="s">
        <v>358</v>
      </c>
      <c r="D96" s="116">
        <f>Datasheet!G96/Datasheet!E96</f>
        <v>0.67513274926832989</v>
      </c>
      <c r="E96" s="116">
        <f>Datasheet!I96/Datasheet!E96</f>
        <v>0.32486725073167011</v>
      </c>
      <c r="F96" s="116">
        <f>(Datasheet!E96-Datasheet!D96)/Datasheet!D96</f>
        <v>7.6071948084455082E-2</v>
      </c>
      <c r="G96" s="116">
        <f>(Datasheet!G96-Datasheet!F96)/Datasheet!F96</f>
        <v>1.7859401409665292E-2</v>
      </c>
      <c r="H96" s="116">
        <f>(Datasheet!I96-Datasheet!H96)/Datasheet!H96</f>
        <v>0.2212180070669352</v>
      </c>
      <c r="I96" s="116">
        <f>(Datasheet!K96-Datasheet!J96)/Datasheet!J96</f>
        <v>0.25817942675508304</v>
      </c>
      <c r="J96" s="116">
        <f>Datasheet!F96/Datasheet!D96</f>
        <v>0.71374436559179499</v>
      </c>
      <c r="K96" s="116">
        <f>Datasheet!H96/Datasheet!D96</f>
        <v>0.28625563440820506</v>
      </c>
      <c r="L96" s="116">
        <f>Datasheet!R96/Datasheet!Q96</f>
        <v>0.84112149532710279</v>
      </c>
      <c r="M96" s="117">
        <f>(Datasheet!AB96-Datasheet!AA96)/Datasheet!AA96</f>
        <v>9.1351112420804473E-2</v>
      </c>
      <c r="N96" s="118">
        <f>Datasheet!AC96/Datasheet!E96</f>
        <v>1.7846077580865038E-2</v>
      </c>
      <c r="O96" s="111">
        <f>SUM(Datasheet!AD96:AG96)</f>
        <v>2235</v>
      </c>
      <c r="P96" s="111">
        <f>SUM(Datasheet!AH96:AK96)</f>
        <v>3580</v>
      </c>
      <c r="Q96" s="111">
        <f t="shared" si="1"/>
        <v>5815</v>
      </c>
      <c r="R96" s="118">
        <f>Q96/Datasheet!AC96</f>
        <v>0.62126068376068377</v>
      </c>
      <c r="S96" s="118">
        <f>Datasheet!AL96/Datasheet!G96</f>
        <v>7.5403067521046495E-3</v>
      </c>
      <c r="T96" s="118">
        <f>Datasheet!AM96/Datasheet!I96</f>
        <v>3.9263328403408689E-2</v>
      </c>
      <c r="U96" s="119">
        <f>O96/Datasheet!AL96</f>
        <v>0.8370786516853933</v>
      </c>
      <c r="V96" s="119">
        <f>P96/Datasheet!AM96</f>
        <v>0.53512705530642746</v>
      </c>
      <c r="W96" s="120">
        <f>((Datasheet!AP96-Datasheet!AO96)/Datasheet!AO96)*100</f>
        <v>6.477817777264665</v>
      </c>
      <c r="X96" s="119">
        <f>Datasheet!AQ96/Datasheet!AR96</f>
        <v>0.52048268266134368</v>
      </c>
      <c r="Y96" s="111">
        <f>Datasheet!AV96+Datasheet!AS96</f>
        <v>100377</v>
      </c>
      <c r="Z96" s="117">
        <f>Datasheet!AW96/(Datasheet!AS96+Datasheet!AV96)</f>
        <v>0.63779551092381725</v>
      </c>
      <c r="AA96" s="111">
        <f>Datasheet!AX96+Datasheet!AT96</f>
        <v>240728</v>
      </c>
      <c r="AB96" s="119">
        <f>Datasheet!AY96/(Datasheet!AT96+Datasheet!AX96)</f>
        <v>0.6615931673922435</v>
      </c>
      <c r="AC96" s="119">
        <f>Datasheet!AU96/(Datasheet!AU96+Datasheet!AZ96)</f>
        <v>0.95031601830356549</v>
      </c>
      <c r="AD96" s="119">
        <f>Datasheet!AZ96/(Datasheet!AU96+Datasheet!AZ96)</f>
        <v>4.9683981696434565E-2</v>
      </c>
      <c r="AE96" s="117">
        <f>(Datasheet!BB96-Datasheet!BA96)/Datasheet!BA96</f>
        <v>0.16965865793986196</v>
      </c>
      <c r="AF96" s="118">
        <f>(Datasheet!AX96+Datasheet!AT96)/Datasheet!BB96</f>
        <v>0.80758443928557055</v>
      </c>
      <c r="AG96" s="111">
        <f>(Datasheet!AP96*1000)/Datasheet!E96</f>
        <v>773.71898147706793</v>
      </c>
      <c r="AH96" s="119">
        <f>Datasheet!BW96/SUM(Datasheet!$BW96:$BZ96)</f>
        <v>0.69364161849710981</v>
      </c>
      <c r="AI96" s="119">
        <f>Datasheet!BX96/SUM(Datasheet!$BW96:$BZ96)</f>
        <v>0.10982658959537572</v>
      </c>
      <c r="AJ96" s="119">
        <f>Datasheet!BY96/SUM(Datasheet!$BW96:$BZ96)</f>
        <v>5.2023121387283239E-2</v>
      </c>
      <c r="AK96" s="119">
        <f>Datasheet!BZ96/SUM(Datasheet!$BW96:$BZ96)</f>
        <v>0.14450867052023122</v>
      </c>
      <c r="AL96" s="31">
        <f>Datasheet!BR96+Datasheet!BS96</f>
        <v>22</v>
      </c>
      <c r="AM96" s="31">
        <f>100-Datasheet!BV96</f>
        <v>20</v>
      </c>
      <c r="AN96" s="121">
        <f>(Datasheet!CL96-Datasheet!CK96)/Datasheet!CK96</f>
        <v>0.12298682284040996</v>
      </c>
    </row>
    <row r="97" spans="1:40">
      <c r="A97" s="42" t="s">
        <v>359</v>
      </c>
      <c r="B97" s="42" t="s">
        <v>360</v>
      </c>
      <c r="C97" s="42" t="s">
        <v>361</v>
      </c>
      <c r="D97" s="116">
        <f>Datasheet!G97/Datasheet!E97</f>
        <v>0.66963682217586906</v>
      </c>
      <c r="E97" s="116">
        <f>Datasheet!I97/Datasheet!E97</f>
        <v>0.33036317782413094</v>
      </c>
      <c r="F97" s="116">
        <f>(Datasheet!E97-Datasheet!D97)/Datasheet!D97</f>
        <v>7.8760128738371793E-2</v>
      </c>
      <c r="G97" s="116">
        <f>(Datasheet!G97-Datasheet!F97)/Datasheet!F97</f>
        <v>8.2621113798273162E-3</v>
      </c>
      <c r="H97" s="116">
        <f>(Datasheet!I97-Datasheet!H97)/Datasheet!H97</f>
        <v>0.25689557438924915</v>
      </c>
      <c r="I97" s="116">
        <f>(Datasheet!K97-Datasheet!J97)/Datasheet!J97</f>
        <v>0.24997129406361235</v>
      </c>
      <c r="J97" s="116">
        <f>Datasheet!F97/Datasheet!D97</f>
        <v>0.71645804830433057</v>
      </c>
      <c r="K97" s="116">
        <f>Datasheet!H97/Datasheet!D97</f>
        <v>0.28354195169566937</v>
      </c>
      <c r="L97" s="116">
        <f>Datasheet!R97/Datasheet!Q97</f>
        <v>0.8571428571428571</v>
      </c>
      <c r="M97" s="117">
        <f>(Datasheet!AB97-Datasheet!AA97)/Datasheet!AA97</f>
        <v>9.229881742140178E-3</v>
      </c>
      <c r="N97" s="118">
        <f>Datasheet!AC97/Datasheet!E97</f>
        <v>2.367524038636248E-2</v>
      </c>
      <c r="O97" s="111">
        <f>SUM(Datasheet!AD97:AG97)</f>
        <v>1870</v>
      </c>
      <c r="P97" s="111">
        <f>SUM(Datasheet!AH97:AK97)</f>
        <v>2640</v>
      </c>
      <c r="Q97" s="111">
        <f t="shared" si="1"/>
        <v>4510</v>
      </c>
      <c r="R97" s="118">
        <f>Q97/Datasheet!AC97</f>
        <v>0.69224865694551041</v>
      </c>
      <c r="S97" s="118">
        <f>Datasheet!AL97/Datasheet!G97</f>
        <v>1.1016323695406789E-2</v>
      </c>
      <c r="T97" s="118">
        <f>Datasheet!AM97/Datasheet!I97</f>
        <v>4.9334506654933448E-2</v>
      </c>
      <c r="U97" s="119">
        <f>O97/Datasheet!AL97</f>
        <v>0.9211822660098522</v>
      </c>
      <c r="V97" s="119">
        <f>P97/Datasheet!AM97</f>
        <v>0.58862876254180607</v>
      </c>
      <c r="W97" s="120">
        <f>((Datasheet!AP97-Datasheet!AO97)/Datasheet!AO97)*100</f>
        <v>12.291794940436354</v>
      </c>
      <c r="X97" s="119">
        <f>Datasheet!AQ97/Datasheet!AR97</f>
        <v>0.41530913054752067</v>
      </c>
      <c r="Y97" s="111">
        <f>Datasheet!AV97+Datasheet!AS97</f>
        <v>81523</v>
      </c>
      <c r="Z97" s="117">
        <f>Datasheet!AW97/(Datasheet!AS97+Datasheet!AV97)</f>
        <v>0.64322951805012085</v>
      </c>
      <c r="AA97" s="111">
        <f>Datasheet!AX97+Datasheet!AT97</f>
        <v>113227</v>
      </c>
      <c r="AB97" s="119">
        <f>Datasheet!AY97/(Datasheet!AT97+Datasheet!AX97)</f>
        <v>0.43603557455377251</v>
      </c>
      <c r="AC97" s="119">
        <f>Datasheet!AU97/(Datasheet!AU97+Datasheet!AZ97)</f>
        <v>0.99250357783785015</v>
      </c>
      <c r="AD97" s="119">
        <f>Datasheet!AZ97/(Datasheet!AU97+Datasheet!AZ97)</f>
        <v>7.4964221621498829E-3</v>
      </c>
      <c r="AE97" s="117">
        <f>(Datasheet!BB97-Datasheet!BA97)/Datasheet!BA97</f>
        <v>9.1364360399893402E-2</v>
      </c>
      <c r="AF97" s="118">
        <f>(Datasheet!AX97+Datasheet!AT97)/Datasheet!BB97</f>
        <v>0.64302832738920057</v>
      </c>
      <c r="AG97" s="111">
        <f>(Datasheet!AP97*1000)/Datasheet!E97</f>
        <v>762.16104251004788</v>
      </c>
      <c r="AH97" s="119">
        <f>Datasheet!BW97/SUM(Datasheet!$BW97:$BZ97)</f>
        <v>0.70056497175141241</v>
      </c>
      <c r="AI97" s="119">
        <f>Datasheet!BX97/SUM(Datasheet!$BW97:$BZ97)</f>
        <v>7.909604519774012E-2</v>
      </c>
      <c r="AJ97" s="119">
        <f>Datasheet!BY97/SUM(Datasheet!$BW97:$BZ97)</f>
        <v>5.0847457627118647E-2</v>
      </c>
      <c r="AK97" s="119">
        <f>Datasheet!BZ97/SUM(Datasheet!$BW97:$BZ97)</f>
        <v>0.16949152542372881</v>
      </c>
      <c r="AL97" s="31">
        <f>Datasheet!BR97+Datasheet!BS97</f>
        <v>12</v>
      </c>
      <c r="AM97" s="31">
        <f>100-Datasheet!BV97</f>
        <v>14</v>
      </c>
      <c r="AN97" s="121">
        <f>(Datasheet!CL97-Datasheet!CK97)/Datasheet!CK97</f>
        <v>0.25870646766169153</v>
      </c>
    </row>
    <row r="98" spans="1:40">
      <c r="A98" s="42" t="s">
        <v>362</v>
      </c>
      <c r="B98" s="42" t="s">
        <v>363</v>
      </c>
      <c r="C98" s="42" t="s">
        <v>364</v>
      </c>
      <c r="D98" s="116">
        <f>Datasheet!G98/Datasheet!E98</f>
        <v>0.84696799086880825</v>
      </c>
      <c r="E98" s="116">
        <f>Datasheet!I98/Datasheet!E98</f>
        <v>0.15303200913119169</v>
      </c>
      <c r="F98" s="116">
        <f>(Datasheet!E98-Datasheet!D98)/Datasheet!D98</f>
        <v>4.6794729960776424E-2</v>
      </c>
      <c r="G98" s="116">
        <f>(Datasheet!G98-Datasheet!F98)/Datasheet!F98</f>
        <v>4.093122552793535E-2</v>
      </c>
      <c r="H98" s="116">
        <f>(Datasheet!I98-Datasheet!H98)/Datasheet!H98</f>
        <v>8.0479730829760676E-2</v>
      </c>
      <c r="I98" s="116">
        <f>(Datasheet!K98-Datasheet!J98)/Datasheet!J98</f>
        <v>-2.8528244851690913E-2</v>
      </c>
      <c r="J98" s="116">
        <f>Datasheet!F98/Datasheet!D98</f>
        <v>0.85173891179724426</v>
      </c>
      <c r="K98" s="116">
        <f>Datasheet!H98/Datasheet!D98</f>
        <v>0.14826108820275571</v>
      </c>
      <c r="L98" s="116">
        <f>Datasheet!R98/Datasheet!Q98</f>
        <v>0.87804878048780488</v>
      </c>
      <c r="M98" s="117">
        <f>(Datasheet!AB98-Datasheet!AA98)/Datasheet!AA98</f>
        <v>2.9880478087649402E-3</v>
      </c>
      <c r="N98" s="118">
        <f>Datasheet!AC98/Datasheet!E98</f>
        <v>2.4096200332811953E-2</v>
      </c>
      <c r="O98" s="111">
        <f>SUM(Datasheet!AD98:AG98)</f>
        <v>2335</v>
      </c>
      <c r="P98" s="111">
        <f>SUM(Datasheet!AH98:AK98)</f>
        <v>2420</v>
      </c>
      <c r="Q98" s="111">
        <f t="shared" si="1"/>
        <v>4755</v>
      </c>
      <c r="R98" s="118">
        <f>Q98/Datasheet!AC98</f>
        <v>0.75837320574162681</v>
      </c>
      <c r="S98" s="118">
        <f>Datasheet!AL98/Datasheet!G98</f>
        <v>1.2750298338831238E-2</v>
      </c>
      <c r="T98" s="118">
        <f>Datasheet!AM98/Datasheet!I98</f>
        <v>8.6891009542943251E-2</v>
      </c>
      <c r="U98" s="119">
        <f>O98/Datasheet!AL98</f>
        <v>0.83096085409252674</v>
      </c>
      <c r="V98" s="119">
        <f>P98/Datasheet!AM98</f>
        <v>0.69942196531791911</v>
      </c>
      <c r="W98" s="120">
        <f>((Datasheet!AP98-Datasheet!AO98)/Datasheet!AO98)*100</f>
        <v>-3.7213292913115601</v>
      </c>
      <c r="X98" s="119">
        <f>Datasheet!AQ98/Datasheet!AR98</f>
        <v>0.55194210265769195</v>
      </c>
      <c r="Y98" s="111">
        <f>Datasheet!AV98+Datasheet!AS98</f>
        <v>80610</v>
      </c>
      <c r="Z98" s="117">
        <f>Datasheet!AW98/(Datasheet!AS98+Datasheet!AV98)</f>
        <v>0.58191291403051726</v>
      </c>
      <c r="AA98" s="111">
        <f>Datasheet!AX98+Datasheet!AT98</f>
        <v>67127</v>
      </c>
      <c r="AB98" s="119">
        <f>Datasheet!AY98/(Datasheet!AT98+Datasheet!AX98)</f>
        <v>0.72943822902855782</v>
      </c>
      <c r="AC98" s="119">
        <f>Datasheet!AU98/(Datasheet!AU98+Datasheet!AZ98)</f>
        <v>0.94715556753842001</v>
      </c>
      <c r="AD98" s="119">
        <f>Datasheet!AZ98/(Datasheet!AU98+Datasheet!AZ98)</f>
        <v>5.2844432461579938E-2</v>
      </c>
      <c r="AE98" s="117">
        <f>(Datasheet!BB98-Datasheet!BA98)/Datasheet!BA98</f>
        <v>0.11890995022374176</v>
      </c>
      <c r="AF98" s="118">
        <f>(Datasheet!AX98+Datasheet!AT98)/Datasheet!BB98</f>
        <v>0.43091450654136015</v>
      </c>
      <c r="AG98" s="111">
        <f>(Datasheet!AP98*1000)/Datasheet!E98</f>
        <v>646.88498003512586</v>
      </c>
      <c r="AH98" s="119">
        <f>Datasheet!BW98/SUM(Datasheet!$BW98:$BZ98)</f>
        <v>0.78899082568807344</v>
      </c>
      <c r="AI98" s="119">
        <f>Datasheet!BX98/SUM(Datasheet!$BW98:$BZ98)</f>
        <v>8.7155963302752298E-2</v>
      </c>
      <c r="AJ98" s="119">
        <f>Datasheet!BY98/SUM(Datasheet!$BW98:$BZ98)</f>
        <v>3.2110091743119268E-2</v>
      </c>
      <c r="AK98" s="119">
        <f>Datasheet!BZ98/SUM(Datasheet!$BW98:$BZ98)</f>
        <v>9.1743119266055051E-2</v>
      </c>
      <c r="AL98" s="31">
        <f>Datasheet!BR98+Datasheet!BS98</f>
        <v>38</v>
      </c>
      <c r="AM98" s="31">
        <f>100-Datasheet!BV98</f>
        <v>48</v>
      </c>
      <c r="AN98" s="121">
        <f>(Datasheet!CL98-Datasheet!CK98)/Datasheet!CK98</f>
        <v>-0.15291262135922329</v>
      </c>
    </row>
    <row r="99" spans="1:40">
      <c r="A99" s="42" t="s">
        <v>365</v>
      </c>
      <c r="B99" s="42" t="s">
        <v>366</v>
      </c>
      <c r="C99" s="42" t="s">
        <v>367</v>
      </c>
      <c r="D99" s="116">
        <f>Datasheet!G99/Datasheet!E99</f>
        <v>0.72709287992358396</v>
      </c>
      <c r="E99" s="116">
        <f>Datasheet!I99/Datasheet!E99</f>
        <v>0.2729071200764161</v>
      </c>
      <c r="F99" s="116">
        <f>(Datasheet!E99-Datasheet!D99)/Datasheet!D99</f>
        <v>7.8906626379228892E-2</v>
      </c>
      <c r="G99" s="116">
        <f>(Datasheet!G99-Datasheet!F99)/Datasheet!F99</f>
        <v>4.7934534942328598E-2</v>
      </c>
      <c r="H99" s="116">
        <f>(Datasheet!I99-Datasheet!H99)/Datasheet!H99</f>
        <v>0.17112435429159664</v>
      </c>
      <c r="I99" s="116">
        <f>(Datasheet!K99-Datasheet!J99)/Datasheet!J99</f>
        <v>0.25555499824447009</v>
      </c>
      <c r="J99" s="116">
        <f>Datasheet!F99/Datasheet!D99</f>
        <v>0.748582377987842</v>
      </c>
      <c r="K99" s="116">
        <f>Datasheet!H99/Datasheet!D99</f>
        <v>0.25141762201215795</v>
      </c>
      <c r="L99" s="116">
        <f>Datasheet!R99/Datasheet!Q99</f>
        <v>0.88773388773388773</v>
      </c>
      <c r="M99" s="117">
        <f>(Datasheet!AB99-Datasheet!AA99)/Datasheet!AA99</f>
        <v>3.0878059735010104E-2</v>
      </c>
      <c r="N99" s="118">
        <f>Datasheet!AC99/Datasheet!E99</f>
        <v>1.8395927173515646E-2</v>
      </c>
      <c r="O99" s="111">
        <f>SUM(Datasheet!AD99:AG99)</f>
        <v>3535</v>
      </c>
      <c r="P99" s="111">
        <f>SUM(Datasheet!AH99:AK99)</f>
        <v>5060</v>
      </c>
      <c r="Q99" s="111">
        <f t="shared" si="1"/>
        <v>8595</v>
      </c>
      <c r="R99" s="118">
        <f>Q99/Datasheet!AC99</f>
        <v>0.67517674783974857</v>
      </c>
      <c r="S99" s="118">
        <f>Datasheet!AL99/Datasheet!G99</f>
        <v>8.6157380815623207E-3</v>
      </c>
      <c r="T99" s="118">
        <f>Datasheet!AM99/Datasheet!I99</f>
        <v>4.4452799017219831E-2</v>
      </c>
      <c r="U99" s="119">
        <f>O99/Datasheet!AL99</f>
        <v>0.81545559400230683</v>
      </c>
      <c r="V99" s="119">
        <f>P99/Datasheet!AM99</f>
        <v>0.60273972602739723</v>
      </c>
      <c r="W99" s="120">
        <f>((Datasheet!AP99-Datasheet!AO99)/Datasheet!AO99)*100</f>
        <v>1.2350683627743433</v>
      </c>
      <c r="X99" s="119">
        <f>Datasheet!AQ99/Datasheet!AR99</f>
        <v>0.6114923431003132</v>
      </c>
      <c r="Y99" s="111">
        <f>Datasheet!AV99+Datasheet!AS99</f>
        <v>190470</v>
      </c>
      <c r="Z99" s="117">
        <f>Datasheet!AW99/(Datasheet!AS99+Datasheet!AV99)</f>
        <v>0.59554785530529741</v>
      </c>
      <c r="AA99" s="111">
        <f>Datasheet!AX99+Datasheet!AT99</f>
        <v>181642</v>
      </c>
      <c r="AB99" s="119">
        <f>Datasheet!AY99/(Datasheet!AT99+Datasheet!AX99)</f>
        <v>0.63303641228350271</v>
      </c>
      <c r="AC99" s="119">
        <f>Datasheet!AU99/(Datasheet!AU99+Datasheet!AZ99)</f>
        <v>0.93788621887180745</v>
      </c>
      <c r="AD99" s="119">
        <f>Datasheet!AZ99/(Datasheet!AU99+Datasheet!AZ99)</f>
        <v>6.2113781128192512E-2</v>
      </c>
      <c r="AE99" s="117">
        <f>(Datasheet!BB99-Datasheet!BA99)/Datasheet!BA99</f>
        <v>0.16609008950260029</v>
      </c>
      <c r="AF99" s="118">
        <f>(Datasheet!AX99+Datasheet!AT99)/Datasheet!BB99</f>
        <v>0.50789913710665091</v>
      </c>
      <c r="AG99" s="111">
        <f>(Datasheet!AP99*1000)/Datasheet!E99</f>
        <v>664.0279421561529</v>
      </c>
      <c r="AH99" s="119">
        <f>Datasheet!BW99/SUM(Datasheet!$BW99:$BZ99)</f>
        <v>0.73412698412698407</v>
      </c>
      <c r="AI99" s="119">
        <f>Datasheet!BX99/SUM(Datasheet!$BW99:$BZ99)</f>
        <v>7.5396825396825393E-2</v>
      </c>
      <c r="AJ99" s="119">
        <f>Datasheet!BY99/SUM(Datasheet!$BW99:$BZ99)</f>
        <v>4.3650793650793648E-2</v>
      </c>
      <c r="AK99" s="119">
        <f>Datasheet!BZ99/SUM(Datasheet!$BW99:$BZ99)</f>
        <v>0.14682539682539683</v>
      </c>
      <c r="AL99" s="31">
        <f>Datasheet!BR99+Datasheet!BS99</f>
        <v>25</v>
      </c>
      <c r="AM99" s="31">
        <f>100-Datasheet!BV99</f>
        <v>27</v>
      </c>
      <c r="AN99" s="121">
        <f>(Datasheet!CL99-Datasheet!CK99)/Datasheet!CK99</f>
        <v>-0.12545235223160434</v>
      </c>
    </row>
    <row r="100" spans="1:40">
      <c r="A100" s="42" t="s">
        <v>368</v>
      </c>
      <c r="B100" s="42" t="s">
        <v>369</v>
      </c>
      <c r="C100" s="42" t="s">
        <v>370</v>
      </c>
      <c r="D100" s="116">
        <f>Datasheet!G100/Datasheet!E100</f>
        <v>0.78663409360691883</v>
      </c>
      <c r="E100" s="116">
        <f>Datasheet!I100/Datasheet!E100</f>
        <v>0.21336590639308123</v>
      </c>
      <c r="F100" s="116">
        <f>(Datasheet!E100-Datasheet!D100)/Datasheet!D100</f>
        <v>8.9426951632085167E-2</v>
      </c>
      <c r="G100" s="116">
        <f>(Datasheet!G100-Datasheet!F100)/Datasheet!F100</f>
        <v>8.4857121976174815E-2</v>
      </c>
      <c r="H100" s="116">
        <f>(Datasheet!I100-Datasheet!H100)/Datasheet!H100</f>
        <v>0.10661279683377309</v>
      </c>
      <c r="I100" s="116">
        <f>(Datasheet!K100-Datasheet!J100)/Datasheet!J100</f>
        <v>0.17618586640851888</v>
      </c>
      <c r="J100" s="116">
        <f>Datasheet!F100/Datasheet!D100</f>
        <v>0.78994769475908411</v>
      </c>
      <c r="K100" s="116">
        <f>Datasheet!H100/Datasheet!D100</f>
        <v>0.21005230524091587</v>
      </c>
      <c r="L100" s="116">
        <f>Datasheet!R100/Datasheet!Q100</f>
        <v>0.91017964071856283</v>
      </c>
      <c r="M100" s="117">
        <f>(Datasheet!AB100-Datasheet!AA100)/Datasheet!AA100</f>
        <v>3.4289276807980051E-2</v>
      </c>
      <c r="N100" s="118">
        <f>Datasheet!AC100/Datasheet!E100</f>
        <v>2.2177590300152619E-2</v>
      </c>
      <c r="O100" s="111">
        <f>SUM(Datasheet!AD100:AG100)</f>
        <v>1520</v>
      </c>
      <c r="P100" s="111">
        <f>SUM(Datasheet!AH100:AK100)</f>
        <v>1525</v>
      </c>
      <c r="Q100" s="111">
        <f t="shared" si="1"/>
        <v>3045</v>
      </c>
      <c r="R100" s="118">
        <f>Q100/Datasheet!AC100</f>
        <v>0.72759856630824371</v>
      </c>
      <c r="S100" s="118">
        <f>Datasheet!AL100/Datasheet!G100</f>
        <v>1.1216577630169563E-2</v>
      </c>
      <c r="T100" s="118">
        <f>Datasheet!AM100/Datasheet!I100</f>
        <v>6.2588480739140154E-2</v>
      </c>
      <c r="U100" s="119">
        <f>O100/Datasheet!AL100</f>
        <v>0.91291291291291288</v>
      </c>
      <c r="V100" s="119">
        <f>P100/Datasheet!AM100</f>
        <v>0.60515873015873012</v>
      </c>
      <c r="W100" s="120">
        <f>((Datasheet!AP100-Datasheet!AO100)/Datasheet!AO100)*100</f>
        <v>-5.2766627312081855</v>
      </c>
      <c r="X100" s="119">
        <f>Datasheet!AQ100/Datasheet!AR100</f>
        <v>0.39377547944988184</v>
      </c>
      <c r="Y100" s="111">
        <f>Datasheet!AV100+Datasheet!AS100</f>
        <v>52453</v>
      </c>
      <c r="Z100" s="117">
        <f>Datasheet!AW100/(Datasheet!AS100+Datasheet!AV100)</f>
        <v>0.62774293176748708</v>
      </c>
      <c r="AA100" s="111">
        <f>Datasheet!AX100+Datasheet!AT100</f>
        <v>53455</v>
      </c>
      <c r="AB100" s="119">
        <f>Datasheet!AY100/(Datasheet!AT100+Datasheet!AX100)</f>
        <v>0.7063137218220934</v>
      </c>
      <c r="AC100" s="119">
        <f>Datasheet!AU100/(Datasheet!AU100+Datasheet!AZ100)</f>
        <v>0.95169178088670692</v>
      </c>
      <c r="AD100" s="119">
        <f>Datasheet!AZ100/(Datasheet!AU100+Datasheet!AZ100)</f>
        <v>4.8308219113293034E-2</v>
      </c>
      <c r="AE100" s="117">
        <f>(Datasheet!BB100-Datasheet!BA100)/Datasheet!BA100</f>
        <v>0.14187423041195912</v>
      </c>
      <c r="AF100" s="118">
        <f>(Datasheet!AX100+Datasheet!AT100)/Datasheet!BB100</f>
        <v>0.5056424226945524</v>
      </c>
      <c r="AG100" s="111">
        <f>(Datasheet!AP100*1000)/Datasheet!E100</f>
        <v>637.75012718331357</v>
      </c>
      <c r="AH100" s="119">
        <f>Datasheet!BW100/SUM(Datasheet!$BW100:$BZ100)</f>
        <v>0.76033057851239672</v>
      </c>
      <c r="AI100" s="119">
        <f>Datasheet!BX100/SUM(Datasheet!$BW100:$BZ100)</f>
        <v>7.8512396694214878E-2</v>
      </c>
      <c r="AJ100" s="119">
        <f>Datasheet!BY100/SUM(Datasheet!$BW100:$BZ100)</f>
        <v>2.8925619834710745E-2</v>
      </c>
      <c r="AK100" s="119">
        <f>Datasheet!BZ100/SUM(Datasheet!$BW100:$BZ100)</f>
        <v>0.13223140495867769</v>
      </c>
      <c r="AL100" s="31">
        <f>Datasheet!BR100+Datasheet!BS100</f>
        <v>20</v>
      </c>
      <c r="AM100" s="31">
        <f>100-Datasheet!BV100</f>
        <v>27</v>
      </c>
      <c r="AN100" s="121">
        <f>(Datasheet!CL100-Datasheet!CK100)/Datasheet!CK100</f>
        <v>-0.11327433628318584</v>
      </c>
    </row>
    <row r="101" spans="1:40">
      <c r="A101" s="42" t="s">
        <v>371</v>
      </c>
      <c r="B101" s="42" t="s">
        <v>372</v>
      </c>
      <c r="C101" s="42" t="s">
        <v>373</v>
      </c>
      <c r="D101" s="116">
        <f>Datasheet!G101/Datasheet!E101</f>
        <v>0.76582222027611957</v>
      </c>
      <c r="E101" s="116">
        <f>Datasheet!I101/Datasheet!E101</f>
        <v>0.23417777972388046</v>
      </c>
      <c r="F101" s="116">
        <f>(Datasheet!E101-Datasheet!D101)/Datasheet!D101</f>
        <v>0.13938091524910104</v>
      </c>
      <c r="G101" s="116">
        <f>(Datasheet!G101-Datasheet!F101)/Datasheet!F101</f>
        <v>0.11392109453323111</v>
      </c>
      <c r="H101" s="116">
        <f>(Datasheet!I101-Datasheet!H101)/Datasheet!H101</f>
        <v>0.231423917585557</v>
      </c>
      <c r="I101" s="116">
        <f>(Datasheet!K101-Datasheet!J101)/Datasheet!J101</f>
        <v>0.307880418169591</v>
      </c>
      <c r="J101" s="116">
        <f>Datasheet!F101/Datasheet!D101</f>
        <v>0.78332588056601615</v>
      </c>
      <c r="K101" s="116">
        <f>Datasheet!H101/Datasheet!D101</f>
        <v>0.21667411943398387</v>
      </c>
      <c r="L101" s="116">
        <f>Datasheet!R101/Datasheet!Q101</f>
        <v>0.87962962962962965</v>
      </c>
      <c r="M101" s="117">
        <f>(Datasheet!AB101-Datasheet!AA101)/Datasheet!AA101</f>
        <v>7.6352395672333845E-2</v>
      </c>
      <c r="N101" s="118">
        <f>Datasheet!AC101/Datasheet!E101</f>
        <v>1.4166005802629509E-2</v>
      </c>
      <c r="O101" s="111">
        <f>SUM(Datasheet!AD101:AG101)</f>
        <v>2560</v>
      </c>
      <c r="P101" s="111">
        <f>SUM(Datasheet!AH101:AK101)</f>
        <v>3370</v>
      </c>
      <c r="Q101" s="111">
        <f t="shared" si="1"/>
        <v>5930</v>
      </c>
      <c r="R101" s="118">
        <f>Q101/Datasheet!AC101</f>
        <v>0.67887807670291933</v>
      </c>
      <c r="S101" s="118">
        <f>Datasheet!AL101/Datasheet!G101</f>
        <v>6.1412183753724436E-3</v>
      </c>
      <c r="T101" s="118">
        <f>Datasheet!AM101/Datasheet!I101</f>
        <v>4.040914694109337E-2</v>
      </c>
      <c r="U101" s="119">
        <f>O101/Datasheet!AL101</f>
        <v>0.88275862068965516</v>
      </c>
      <c r="V101" s="119">
        <f>P101/Datasheet!AM101</f>
        <v>0.57754927163667524</v>
      </c>
      <c r="W101" s="120">
        <f>((Datasheet!AP101-Datasheet!AO101)/Datasheet!AO101)*100</f>
        <v>1.5985603834554667</v>
      </c>
      <c r="X101" s="119">
        <f>Datasheet!AQ101/Datasheet!AR101</f>
        <v>0.50458421358318606</v>
      </c>
      <c r="Y101" s="111">
        <f>Datasheet!AV101+Datasheet!AS101</f>
        <v>145902</v>
      </c>
      <c r="Z101" s="117">
        <f>Datasheet!AW101/(Datasheet!AS101+Datasheet!AV101)</f>
        <v>0.6753163082068786</v>
      </c>
      <c r="AA101" s="111">
        <f>Datasheet!AX101+Datasheet!AT101</f>
        <v>156282</v>
      </c>
      <c r="AB101" s="119">
        <f>Datasheet!AY101/(Datasheet!AT101+Datasheet!AX101)</f>
        <v>0.46071204617294376</v>
      </c>
      <c r="AC101" s="119">
        <f>Datasheet!AU101/(Datasheet!AU101+Datasheet!AZ101)</f>
        <v>0.9671478277389417</v>
      </c>
      <c r="AD101" s="119">
        <f>Datasheet!AZ101/(Datasheet!AU101+Datasheet!AZ101)</f>
        <v>3.285217226105832E-2</v>
      </c>
      <c r="AE101" s="117">
        <f>(Datasheet!BB101-Datasheet!BA101)/Datasheet!BA101</f>
        <v>0.13540967628543124</v>
      </c>
      <c r="AF101" s="118">
        <f>(Datasheet!AX101+Datasheet!AT101)/Datasheet!BB101</f>
        <v>0.54981828928065068</v>
      </c>
      <c r="AG101" s="111">
        <f>(Datasheet!AP101*1000)/Datasheet!E101</f>
        <v>596.06854822361367</v>
      </c>
      <c r="AH101" s="119">
        <f>Datasheet!BW101/SUM(Datasheet!$BW101:$BZ101)</f>
        <v>0.70821529745042489</v>
      </c>
      <c r="AI101" s="119">
        <f>Datasheet!BX101/SUM(Datasheet!$BW101:$BZ101)</f>
        <v>9.0651558073654395E-2</v>
      </c>
      <c r="AJ101" s="119">
        <f>Datasheet!BY101/SUM(Datasheet!$BW101:$BZ101)</f>
        <v>5.3824362606232294E-2</v>
      </c>
      <c r="AK101" s="119">
        <f>Datasheet!BZ101/SUM(Datasheet!$BW101:$BZ101)</f>
        <v>0.14730878186968838</v>
      </c>
      <c r="AL101" s="31">
        <f>Datasheet!BR101+Datasheet!BS101</f>
        <v>44</v>
      </c>
      <c r="AM101" s="31">
        <f>100-Datasheet!BV101</f>
        <v>40</v>
      </c>
      <c r="AN101" s="121">
        <f>(Datasheet!CL101-Datasheet!CK101)/Datasheet!CK101</f>
        <v>2.4324324324324326E-2</v>
      </c>
    </row>
    <row r="102" spans="1:40">
      <c r="A102" s="42" t="s">
        <v>374</v>
      </c>
      <c r="B102" s="42" t="s">
        <v>375</v>
      </c>
      <c r="C102" s="42" t="s">
        <v>376</v>
      </c>
      <c r="D102" s="116">
        <f>Datasheet!G102/Datasheet!E102</f>
        <v>0.80616052729937049</v>
      </c>
      <c r="E102" s="116">
        <f>Datasheet!I102/Datasheet!E102</f>
        <v>0.19383947270062946</v>
      </c>
      <c r="F102" s="116">
        <f>(Datasheet!E102-Datasheet!D102)/Datasheet!D102</f>
        <v>0.11302091243454547</v>
      </c>
      <c r="G102" s="116">
        <f>(Datasheet!G102-Datasheet!F102)/Datasheet!F102</f>
        <v>9.9251708934999794E-2</v>
      </c>
      <c r="H102" s="116">
        <f>(Datasheet!I102-Datasheet!H102)/Datasheet!H102</f>
        <v>0.17418960684252138</v>
      </c>
      <c r="I102" s="116">
        <f>(Datasheet!K102-Datasheet!J102)/Datasheet!J102</f>
        <v>0.18288770053475936</v>
      </c>
      <c r="J102" s="116">
        <f>Datasheet!F102/Datasheet!D102</f>
        <v>0.81625847689859421</v>
      </c>
      <c r="K102" s="116">
        <f>Datasheet!H102/Datasheet!D102</f>
        <v>0.18374152310140582</v>
      </c>
      <c r="L102" s="116">
        <f>Datasheet!R102/Datasheet!Q102</f>
        <v>0.92380952380952386</v>
      </c>
      <c r="M102" s="117">
        <f>(Datasheet!AB102-Datasheet!AA102)/Datasheet!AA102</f>
        <v>5.2456839309428953E-2</v>
      </c>
      <c r="N102" s="118">
        <f>Datasheet!AC102/Datasheet!E102</f>
        <v>1.690822689060674E-2</v>
      </c>
      <c r="O102" s="111">
        <f>SUM(Datasheet!AD102:AG102)</f>
        <v>990</v>
      </c>
      <c r="P102" s="111">
        <f>SUM(Datasheet!AH102:AK102)</f>
        <v>1050</v>
      </c>
      <c r="Q102" s="111">
        <f t="shared" si="1"/>
        <v>2040</v>
      </c>
      <c r="R102" s="118">
        <f>Q102/Datasheet!AC102</f>
        <v>0.71578947368421053</v>
      </c>
      <c r="S102" s="118">
        <f>Datasheet!AL102/Datasheet!G102</f>
        <v>8.5366930617291215E-3</v>
      </c>
      <c r="T102" s="118">
        <f>Datasheet!AM102/Datasheet!I102</f>
        <v>5.1724665626052095E-2</v>
      </c>
      <c r="U102" s="119">
        <f>O102/Datasheet!AL102</f>
        <v>0.85344827586206895</v>
      </c>
      <c r="V102" s="119">
        <f>P102/Datasheet!AM102</f>
        <v>0.62130177514792895</v>
      </c>
      <c r="W102" s="120">
        <f>((Datasheet!AP102-Datasheet!AO102)/Datasheet!AO102)*100</f>
        <v>3.7034291402791601</v>
      </c>
      <c r="X102" s="119">
        <f>Datasheet!AQ102/Datasheet!AR102</f>
        <v>0.40568456977254097</v>
      </c>
      <c r="Y102" s="111">
        <f>Datasheet!AV102+Datasheet!AS102</f>
        <v>40156</v>
      </c>
      <c r="Z102" s="117">
        <f>Datasheet!AW102/(Datasheet!AS102+Datasheet!AV102)</f>
        <v>0.70925889032772194</v>
      </c>
      <c r="AA102" s="111">
        <f>Datasheet!AX102+Datasheet!AT102</f>
        <v>46262</v>
      </c>
      <c r="AB102" s="119">
        <f>Datasheet!AY102/(Datasheet!AT102+Datasheet!AX102)</f>
        <v>0.63382473736544032</v>
      </c>
      <c r="AC102" s="119">
        <f>Datasheet!AU102/(Datasheet!AU102+Datasheet!AZ102)</f>
        <v>0.94718920106427129</v>
      </c>
      <c r="AD102" s="119">
        <f>Datasheet!AZ102/(Datasheet!AU102+Datasheet!AZ102)</f>
        <v>5.2810798935728757E-2</v>
      </c>
      <c r="AE102" s="117">
        <f>(Datasheet!BB102-Datasheet!BA102)/Datasheet!BA102</f>
        <v>5.9715198468642081E-2</v>
      </c>
      <c r="AF102" s="118">
        <f>(Datasheet!AX102+Datasheet!AT102)/Datasheet!BB102</f>
        <v>0.56462518612541801</v>
      </c>
      <c r="AG102" s="111">
        <f>(Datasheet!AP102*1000)/Datasheet!E102</f>
        <v>580.94887782767842</v>
      </c>
      <c r="AH102" s="119">
        <f>Datasheet!BW102/SUM(Datasheet!$BW102:$BZ102)</f>
        <v>0.77852348993288589</v>
      </c>
      <c r="AI102" s="119">
        <f>Datasheet!BX102/SUM(Datasheet!$BW102:$BZ102)</f>
        <v>8.7248322147651006E-2</v>
      </c>
      <c r="AJ102" s="119">
        <f>Datasheet!BY102/SUM(Datasheet!$BW102:$BZ102)</f>
        <v>3.3557046979865772E-2</v>
      </c>
      <c r="AK102" s="119">
        <f>Datasheet!BZ102/SUM(Datasheet!$BW102:$BZ102)</f>
        <v>0.10067114093959731</v>
      </c>
      <c r="AL102" s="31">
        <f>Datasheet!BR102+Datasheet!BS102</f>
        <v>49</v>
      </c>
      <c r="AM102" s="31">
        <f>100-Datasheet!BV102</f>
        <v>51</v>
      </c>
      <c r="AN102" s="121">
        <f>(Datasheet!CL102-Datasheet!CK102)/Datasheet!CK102</f>
        <v>0.33561643835616439</v>
      </c>
    </row>
    <row r="103" spans="1:40">
      <c r="A103" s="42" t="s">
        <v>377</v>
      </c>
      <c r="B103" s="42" t="s">
        <v>378</v>
      </c>
      <c r="C103" s="42" t="s">
        <v>379</v>
      </c>
      <c r="D103" s="116">
        <f>Datasheet!G103/Datasheet!E103</f>
        <v>0.7635132375034609</v>
      </c>
      <c r="E103" s="116">
        <f>Datasheet!I103/Datasheet!E103</f>
        <v>0.23648676249653913</v>
      </c>
      <c r="F103" s="116">
        <f>(Datasheet!E103-Datasheet!D103)/Datasheet!D103</f>
        <v>3.9671753635908906E-2</v>
      </c>
      <c r="G103" s="116">
        <f>(Datasheet!G103-Datasheet!F103)/Datasheet!F103</f>
        <v>1.4082299465885389E-2</v>
      </c>
      <c r="H103" s="116">
        <f>(Datasheet!I103-Datasheet!H103)/Datasheet!H103</f>
        <v>0.13188651372957944</v>
      </c>
      <c r="I103" s="116">
        <f>(Datasheet!K103-Datasheet!J103)/Datasheet!J103</f>
        <v>0.15802675585284282</v>
      </c>
      <c r="J103" s="116">
        <f>Datasheet!F103/Datasheet!D103</f>
        <v>0.78277980690280025</v>
      </c>
      <c r="K103" s="116">
        <f>Datasheet!H103/Datasheet!D103</f>
        <v>0.21722019309719981</v>
      </c>
      <c r="L103" s="116">
        <f>Datasheet!R103/Datasheet!Q103</f>
        <v>0.85227272727272729</v>
      </c>
      <c r="M103" s="117">
        <f>(Datasheet!AB103-Datasheet!AA103)/Datasheet!AA103</f>
        <v>-7.433318758198513E-3</v>
      </c>
      <c r="N103" s="118">
        <f>Datasheet!AC103/Datasheet!E103</f>
        <v>1.9880084059168215E-2</v>
      </c>
      <c r="O103" s="111">
        <f>SUM(Datasheet!AD103:AG103)</f>
        <v>1575</v>
      </c>
      <c r="P103" s="111">
        <f>SUM(Datasheet!AH103:AK103)</f>
        <v>1470</v>
      </c>
      <c r="Q103" s="111">
        <f t="shared" si="1"/>
        <v>3045</v>
      </c>
      <c r="R103" s="118">
        <f>Q103/Datasheet!AC103</f>
        <v>0.6952054794520548</v>
      </c>
      <c r="S103" s="118">
        <f>Datasheet!AL103/Datasheet!G103</f>
        <v>1.0492337324186472E-2</v>
      </c>
      <c r="T103" s="118">
        <f>Datasheet!AM103/Datasheet!I103</f>
        <v>5.0189048615242884E-2</v>
      </c>
      <c r="U103" s="119">
        <f>O103/Datasheet!AL103</f>
        <v>0.8923512747875354</v>
      </c>
      <c r="V103" s="119">
        <f>P103/Datasheet!AM103</f>
        <v>0.5621414913957935</v>
      </c>
      <c r="W103" s="120">
        <f>((Datasheet!AP103-Datasheet!AO103)/Datasheet!AO103)*100</f>
        <v>11.01633838815374</v>
      </c>
      <c r="X103" s="119">
        <f>Datasheet!AQ103/Datasheet!AR103</f>
        <v>0.68149487580155421</v>
      </c>
      <c r="Y103" s="111">
        <f>Datasheet!AV103+Datasheet!AS103</f>
        <v>66350</v>
      </c>
      <c r="Z103" s="117">
        <f>Datasheet!AW103/(Datasheet!AS103+Datasheet!AV103)</f>
        <v>0.57999999999999996</v>
      </c>
      <c r="AA103" s="111">
        <f>Datasheet!AX103+Datasheet!AT103</f>
        <v>67188</v>
      </c>
      <c r="AB103" s="119">
        <f>Datasheet!AY103/(Datasheet!AT103+Datasheet!AX103)</f>
        <v>0.62442698100851346</v>
      </c>
      <c r="AC103" s="119">
        <f>Datasheet!AU103/(Datasheet!AU103+Datasheet!AZ103)</f>
        <v>0.9438670317041844</v>
      </c>
      <c r="AD103" s="119">
        <f>Datasheet!AZ103/(Datasheet!AU103+Datasheet!AZ103)</f>
        <v>5.6132968295815586E-2</v>
      </c>
      <c r="AE103" s="117">
        <f>(Datasheet!BB103-Datasheet!BA103)/Datasheet!BA103</f>
        <v>8.5754653797810942E-2</v>
      </c>
      <c r="AF103" s="118">
        <f>(Datasheet!AX103+Datasheet!AT103)/Datasheet!BB103</f>
        <v>0.56773473940377206</v>
      </c>
      <c r="AG103" s="111">
        <f>(Datasheet!AP103*1000)/Datasheet!E103</f>
        <v>678.18319633625481</v>
      </c>
      <c r="AH103" s="119">
        <f>Datasheet!BW103/SUM(Datasheet!$BW103:$BZ103)</f>
        <v>0.75985663082437271</v>
      </c>
      <c r="AI103" s="119">
        <f>Datasheet!BX103/SUM(Datasheet!$BW103:$BZ103)</f>
        <v>8.6021505376344093E-2</v>
      </c>
      <c r="AJ103" s="119">
        <f>Datasheet!BY103/SUM(Datasheet!$BW103:$BZ103)</f>
        <v>2.5089605734767026E-2</v>
      </c>
      <c r="AK103" s="119">
        <f>Datasheet!BZ103/SUM(Datasheet!$BW103:$BZ103)</f>
        <v>0.12903225806451613</v>
      </c>
      <c r="AL103" s="31">
        <f>Datasheet!BR103+Datasheet!BS103</f>
        <v>18</v>
      </c>
      <c r="AM103" s="31">
        <f>100-Datasheet!BV103</f>
        <v>17</v>
      </c>
      <c r="AN103" s="121">
        <f>(Datasheet!CL103-Datasheet!CK103)/Datasheet!CK103</f>
        <v>-0.20572916666666666</v>
      </c>
    </row>
    <row r="104" spans="1:40">
      <c r="A104" s="42" t="s">
        <v>380</v>
      </c>
      <c r="B104" s="42" t="s">
        <v>381</v>
      </c>
      <c r="C104" s="42" t="s">
        <v>382</v>
      </c>
      <c r="D104" s="116">
        <f>Datasheet!G104/Datasheet!E104</f>
        <v>0.80812301029204936</v>
      </c>
      <c r="E104" s="116">
        <f>Datasheet!I104/Datasheet!E104</f>
        <v>0.19187698970795058</v>
      </c>
      <c r="F104" s="116">
        <f>(Datasheet!E104-Datasheet!D104)/Datasheet!D104</f>
        <v>2.8263526678203622E-2</v>
      </c>
      <c r="G104" s="116">
        <f>(Datasheet!G104-Datasheet!F104)/Datasheet!F104</f>
        <v>1.2272878045184831E-2</v>
      </c>
      <c r="H104" s="116">
        <f>(Datasheet!I104-Datasheet!H104)/Datasheet!H104</f>
        <v>0.10155062328975373</v>
      </c>
      <c r="I104" s="116">
        <f>(Datasheet!K104-Datasheet!J104)/Datasheet!J104</f>
        <v>-1.3597603134362757E-2</v>
      </c>
      <c r="J104" s="116">
        <f>Datasheet!F104/Datasheet!D104</f>
        <v>0.82088874904699094</v>
      </c>
      <c r="K104" s="116">
        <f>Datasheet!H104/Datasheet!D104</f>
        <v>0.17911125095300909</v>
      </c>
      <c r="L104" s="116">
        <f>Datasheet!R104/Datasheet!Q104</f>
        <v>0.82905982905982911</v>
      </c>
      <c r="M104" s="117">
        <f>(Datasheet!AB104-Datasheet!AA104)/Datasheet!AA104</f>
        <v>-2.2797927461139896E-2</v>
      </c>
      <c r="N104" s="118">
        <f>Datasheet!AC104/Datasheet!E104</f>
        <v>1.3034242101484668E-2</v>
      </c>
      <c r="O104" s="111">
        <f>SUM(Datasheet!AD104:AG104)</f>
        <v>800</v>
      </c>
      <c r="P104" s="111">
        <f>SUM(Datasheet!AH104:AK104)</f>
        <v>915</v>
      </c>
      <c r="Q104" s="111">
        <f t="shared" si="1"/>
        <v>1715</v>
      </c>
      <c r="R104" s="118">
        <f>Q104/Datasheet!AC104</f>
        <v>0.77426636568848761</v>
      </c>
      <c r="S104" s="118">
        <f>Datasheet!AL104/Datasheet!G104</f>
        <v>6.5899657758683467E-3</v>
      </c>
      <c r="T104" s="118">
        <f>Datasheet!AM104/Datasheet!I104</f>
        <v>4.0175422455301008E-2</v>
      </c>
      <c r="U104" s="119">
        <f>O104/Datasheet!AL104</f>
        <v>0.88397790055248615</v>
      </c>
      <c r="V104" s="119">
        <f>P104/Datasheet!AM104</f>
        <v>0.69847328244274809</v>
      </c>
      <c r="W104" s="120">
        <f>((Datasheet!AP104-Datasheet!AO104)/Datasheet!AO104)*100</f>
        <v>5.7222460351478777</v>
      </c>
      <c r="X104" s="119">
        <f>Datasheet!AQ104/Datasheet!AR104</f>
        <v>0.49886605809885237</v>
      </c>
      <c r="Y104" s="111">
        <f>Datasheet!AV104+Datasheet!AS104</f>
        <v>33989</v>
      </c>
      <c r="Z104" s="117">
        <f>Datasheet!AW104/(Datasheet!AS104+Datasheet!AV104)</f>
        <v>0.71067109947335905</v>
      </c>
      <c r="AA104" s="111">
        <f>Datasheet!AX104+Datasheet!AT104</f>
        <v>52761</v>
      </c>
      <c r="AB104" s="119">
        <f>Datasheet!AY104/(Datasheet!AT104+Datasheet!AX104)</f>
        <v>0.40418111862929057</v>
      </c>
      <c r="AC104" s="119">
        <f>Datasheet!AU104/(Datasheet!AU104+Datasheet!AZ104)</f>
        <v>0.94174211527191398</v>
      </c>
      <c r="AD104" s="119">
        <f>Datasheet!AZ104/(Datasheet!AU104+Datasheet!AZ104)</f>
        <v>5.8257884728086018E-2</v>
      </c>
      <c r="AE104" s="117">
        <f>(Datasheet!BB104-Datasheet!BA104)/Datasheet!BA104</f>
        <v>0.13623515342592341</v>
      </c>
      <c r="AF104" s="118">
        <f>(Datasheet!AX104+Datasheet!AT104)/Datasheet!BB104</f>
        <v>0.63102941000586044</v>
      </c>
      <c r="AG104" s="111">
        <f>(Datasheet!AP104*1000)/Datasheet!E104</f>
        <v>609.59649752555356</v>
      </c>
      <c r="AH104" s="119">
        <f>Datasheet!BW104/SUM(Datasheet!$BW104:$BZ104)</f>
        <v>0.71957671957671954</v>
      </c>
      <c r="AI104" s="119">
        <f>Datasheet!BX104/SUM(Datasheet!$BW104:$BZ104)</f>
        <v>9.5238095238095233E-2</v>
      </c>
      <c r="AJ104" s="119">
        <f>Datasheet!BY104/SUM(Datasheet!$BW104:$BZ104)</f>
        <v>4.7619047619047616E-2</v>
      </c>
      <c r="AK104" s="119">
        <f>Datasheet!BZ104/SUM(Datasheet!$BW104:$BZ104)</f>
        <v>0.13756613756613756</v>
      </c>
      <c r="AL104" s="31">
        <f>Datasheet!BR104+Datasheet!BS104</f>
        <v>28</v>
      </c>
      <c r="AM104" s="31">
        <f>100-Datasheet!BV104</f>
        <v>29</v>
      </c>
      <c r="AN104" s="121">
        <f>(Datasheet!CL104-Datasheet!CK104)/Datasheet!CK104</f>
        <v>2.3715415019762844E-2</v>
      </c>
    </row>
    <row r="105" spans="1:40">
      <c r="A105" s="42" t="s">
        <v>383</v>
      </c>
      <c r="B105" s="42" t="s">
        <v>384</v>
      </c>
      <c r="C105" s="42" t="s">
        <v>385</v>
      </c>
      <c r="D105" s="116">
        <f>Datasheet!G105/Datasheet!E105</f>
        <v>0.84493357128693236</v>
      </c>
      <c r="E105" s="116">
        <f>Datasheet!I105/Datasheet!E105</f>
        <v>0.15506642871306761</v>
      </c>
      <c r="F105" s="116">
        <f>(Datasheet!E105-Datasheet!D105)/Datasheet!D105</f>
        <v>0.10324303528187023</v>
      </c>
      <c r="G105" s="116">
        <f>(Datasheet!G105-Datasheet!F105)/Datasheet!F105</f>
        <v>9.363743373248723E-2</v>
      </c>
      <c r="H105" s="116">
        <f>(Datasheet!I105-Datasheet!H105)/Datasheet!H105</f>
        <v>0.1586960964643368</v>
      </c>
      <c r="I105" s="116">
        <f>(Datasheet!K105-Datasheet!J105)/Datasheet!J105</f>
        <v>9.6147171121138492E-2</v>
      </c>
      <c r="J105" s="116">
        <f>Datasheet!F105/Datasheet!D105</f>
        <v>0.85235476497612417</v>
      </c>
      <c r="K105" s="116">
        <f>Datasheet!H105/Datasheet!D105</f>
        <v>0.1476452350238758</v>
      </c>
      <c r="L105" s="116">
        <f>Datasheet!R105/Datasheet!Q105</f>
        <v>0.89010989010989006</v>
      </c>
      <c r="M105" s="117">
        <f>(Datasheet!AB105-Datasheet!AA105)/Datasheet!AA105</f>
        <v>4.0080160320641279E-3</v>
      </c>
      <c r="N105" s="118">
        <f>Datasheet!AC105/Datasheet!E105</f>
        <v>1.4872099940511601E-2</v>
      </c>
      <c r="O105" s="111">
        <f>SUM(Datasheet!AD105:AG105)</f>
        <v>825</v>
      </c>
      <c r="P105" s="111">
        <f>SUM(Datasheet!AH105:AK105)</f>
        <v>740</v>
      </c>
      <c r="Q105" s="111">
        <f t="shared" si="1"/>
        <v>1565</v>
      </c>
      <c r="R105" s="118">
        <f>Q105/Datasheet!AC105</f>
        <v>0.7195402298850575</v>
      </c>
      <c r="S105" s="118">
        <f>Datasheet!AL105/Datasheet!G105</f>
        <v>7.8498652574674876E-3</v>
      </c>
      <c r="T105" s="118">
        <f>Datasheet!AM105/Datasheet!I105</f>
        <v>5.313519710732869E-2</v>
      </c>
      <c r="U105" s="119">
        <f>O105/Datasheet!AL105</f>
        <v>0.85051546391752575</v>
      </c>
      <c r="V105" s="119">
        <f>P105/Datasheet!AM105</f>
        <v>0.61410788381742742</v>
      </c>
      <c r="W105" s="120">
        <f>((Datasheet!AP105-Datasheet!AO105)/Datasheet!AO105)*100</f>
        <v>10.197137599131482</v>
      </c>
      <c r="X105" s="119">
        <f>Datasheet!AQ105/Datasheet!AR105</f>
        <v>0.41333757927978132</v>
      </c>
      <c r="Y105" s="111">
        <f>Datasheet!AV105+Datasheet!AS105</f>
        <v>38995</v>
      </c>
      <c r="Z105" s="117">
        <f>Datasheet!AW105/(Datasheet!AS105+Datasheet!AV105)</f>
        <v>0.6158481856648288</v>
      </c>
      <c r="AA105" s="111">
        <f>Datasheet!AX105+Datasheet!AT105</f>
        <v>36530</v>
      </c>
      <c r="AB105" s="119">
        <f>Datasheet!AY105/(Datasheet!AT105+Datasheet!AX105)</f>
        <v>0.680810292909937</v>
      </c>
      <c r="AC105" s="119">
        <f>Datasheet!AU105/(Datasheet!AU105+Datasheet!AZ105)</f>
        <v>0.96175182045186081</v>
      </c>
      <c r="AD105" s="119">
        <f>Datasheet!AZ105/(Datasheet!AU105+Datasheet!AZ105)</f>
        <v>3.824817954813918E-2</v>
      </c>
      <c r="AE105" s="117">
        <f>(Datasheet!BB105-Datasheet!BA105)/Datasheet!BA105</f>
        <v>0.26143951110943453</v>
      </c>
      <c r="AF105" s="118">
        <f>(Datasheet!AX105+Datasheet!AT105)/Datasheet!BB105</f>
        <v>0.54621032013038473</v>
      </c>
      <c r="AG105" s="111">
        <f>(Datasheet!AP105*1000)/Datasheet!E105</f>
        <v>569.12620429820788</v>
      </c>
      <c r="AH105" s="119">
        <f>Datasheet!BW105/SUM(Datasheet!$BW105:$BZ105)</f>
        <v>0.7407407407407407</v>
      </c>
      <c r="AI105" s="119">
        <f>Datasheet!BX105/SUM(Datasheet!$BW105:$BZ105)</f>
        <v>9.8765432098765427E-2</v>
      </c>
      <c r="AJ105" s="119">
        <f>Datasheet!BY105/SUM(Datasheet!$BW105:$BZ105)</f>
        <v>3.7037037037037035E-2</v>
      </c>
      <c r="AK105" s="119">
        <f>Datasheet!BZ105/SUM(Datasheet!$BW105:$BZ105)</f>
        <v>0.12345679012345678</v>
      </c>
      <c r="AL105" s="31">
        <f>Datasheet!BR105+Datasheet!BS105</f>
        <v>50</v>
      </c>
      <c r="AM105" s="31">
        <f>100-Datasheet!BV105</f>
        <v>52</v>
      </c>
      <c r="AN105" s="121">
        <f>(Datasheet!CL105-Datasheet!CK105)/Datasheet!CK105</f>
        <v>0.59482758620689657</v>
      </c>
    </row>
    <row r="106" spans="1:40">
      <c r="A106" s="42" t="s">
        <v>386</v>
      </c>
      <c r="B106" s="42" t="s">
        <v>387</v>
      </c>
      <c r="C106" s="42" t="s">
        <v>388</v>
      </c>
      <c r="D106" s="116">
        <f>Datasheet!G106/Datasheet!E106</f>
        <v>0.83270775741165592</v>
      </c>
      <c r="E106" s="116">
        <f>Datasheet!I106/Datasheet!E106</f>
        <v>0.16729224258834402</v>
      </c>
      <c r="F106" s="116">
        <f>(Datasheet!E106-Datasheet!D106)/Datasheet!D106</f>
        <v>9.6281089055674798E-2</v>
      </c>
      <c r="G106" s="116">
        <f>(Datasheet!G106-Datasheet!F106)/Datasheet!F106</f>
        <v>8.5533720481698522E-2</v>
      </c>
      <c r="H106" s="116">
        <f>(Datasheet!I106-Datasheet!H106)/Datasheet!H106</f>
        <v>0.15310683951721055</v>
      </c>
      <c r="I106" s="116">
        <f>(Datasheet!K106-Datasheet!J106)/Datasheet!J106</f>
        <v>5.589469668065624E-2</v>
      </c>
      <c r="J106" s="116">
        <f>Datasheet!F106/Datasheet!D106</f>
        <v>0.8409520127622323</v>
      </c>
      <c r="K106" s="116">
        <f>Datasheet!H106/Datasheet!D106</f>
        <v>0.15904798723776767</v>
      </c>
      <c r="L106" s="116">
        <f>Datasheet!R106/Datasheet!Q106</f>
        <v>0.89922480620155043</v>
      </c>
      <c r="M106" s="117">
        <f>(Datasheet!AB106-Datasheet!AA106)/Datasheet!AA106</f>
        <v>4.7899778924097275E-2</v>
      </c>
      <c r="N106" s="118">
        <f>Datasheet!AC106/Datasheet!E106</f>
        <v>1.651763637690206E-2</v>
      </c>
      <c r="O106" s="111">
        <f>SUM(Datasheet!AD106:AG106)</f>
        <v>1340</v>
      </c>
      <c r="P106" s="111">
        <f>SUM(Datasheet!AH106:AK106)</f>
        <v>1840</v>
      </c>
      <c r="Q106" s="111">
        <f t="shared" si="1"/>
        <v>3180</v>
      </c>
      <c r="R106" s="118">
        <f>Q106/Datasheet!AC106</f>
        <v>0.78036809815950925</v>
      </c>
      <c r="S106" s="118">
        <f>Datasheet!AL106/Datasheet!G106</f>
        <v>7.447647419609218E-3</v>
      </c>
      <c r="T106" s="118">
        <f>Datasheet!AM106/Datasheet!I106</f>
        <v>6.1664082186470244E-2</v>
      </c>
      <c r="U106" s="119">
        <f>O106/Datasheet!AL106</f>
        <v>0.87581699346405228</v>
      </c>
      <c r="V106" s="119">
        <f>P106/Datasheet!AM106</f>
        <v>0.72298624754420437</v>
      </c>
      <c r="W106" s="120">
        <f>((Datasheet!AP106-Datasheet!AO106)/Datasheet!AO106)*100</f>
        <v>10.003105831198074</v>
      </c>
      <c r="X106" s="119">
        <f>Datasheet!AQ106/Datasheet!AR106</f>
        <v>0.46540244778169781</v>
      </c>
      <c r="Y106" s="111">
        <f>Datasheet!AV106+Datasheet!AS106</f>
        <v>60442</v>
      </c>
      <c r="Z106" s="117">
        <f>Datasheet!AW106/(Datasheet!AS106+Datasheet!AV106)</f>
        <v>0.58459349458985477</v>
      </c>
      <c r="AA106" s="111">
        <f>Datasheet!AX106+Datasheet!AT106</f>
        <v>56912</v>
      </c>
      <c r="AB106" s="119">
        <f>Datasheet!AY106/(Datasheet!AT106+Datasheet!AX106)</f>
        <v>0.70832161934214222</v>
      </c>
      <c r="AC106" s="119">
        <f>Datasheet!AU106/(Datasheet!AU106+Datasheet!AZ106)</f>
        <v>0.99905081432612519</v>
      </c>
      <c r="AD106" s="119">
        <f>Datasheet!AZ106/(Datasheet!AU106+Datasheet!AZ106)</f>
        <v>9.4918567387483903E-4</v>
      </c>
      <c r="AE106" s="117">
        <f>(Datasheet!BB106-Datasheet!BA106)/Datasheet!BA106</f>
        <v>0.14354648038688878</v>
      </c>
      <c r="AF106" s="118">
        <f>(Datasheet!AX106+Datasheet!AT106)/Datasheet!BB106</f>
        <v>0.53485203041153306</v>
      </c>
      <c r="AG106" s="111">
        <f>(Datasheet!AP106*1000)/Datasheet!E106</f>
        <v>574.25842906131186</v>
      </c>
      <c r="AH106" s="119">
        <f>Datasheet!BW106/SUM(Datasheet!$BW106:$BZ106)</f>
        <v>0.81028938906752412</v>
      </c>
      <c r="AI106" s="119">
        <f>Datasheet!BX106/SUM(Datasheet!$BW106:$BZ106)</f>
        <v>8.3601286173633438E-2</v>
      </c>
      <c r="AJ106" s="119">
        <f>Datasheet!BY106/SUM(Datasheet!$BW106:$BZ106)</f>
        <v>2.8938906752411574E-2</v>
      </c>
      <c r="AK106" s="119">
        <f>Datasheet!BZ106/SUM(Datasheet!$BW106:$BZ106)</f>
        <v>7.7170418006430874E-2</v>
      </c>
      <c r="AL106" s="31">
        <f>Datasheet!BR106+Datasheet!BS106</f>
        <v>56</v>
      </c>
      <c r="AM106" s="31">
        <f>100-Datasheet!BV106</f>
        <v>86</v>
      </c>
      <c r="AN106" s="121">
        <f>(Datasheet!CL106-Datasheet!CK106)/Datasheet!CK106</f>
        <v>-0.87225274725274726</v>
      </c>
    </row>
    <row r="107" spans="1:40">
      <c r="A107" s="42" t="s">
        <v>389</v>
      </c>
      <c r="B107" s="42" t="s">
        <v>390</v>
      </c>
      <c r="C107" s="42" t="s">
        <v>391</v>
      </c>
      <c r="D107" s="116">
        <f>Datasheet!G107/Datasheet!E107</f>
        <v>0.69508873738362675</v>
      </c>
      <c r="E107" s="116">
        <f>Datasheet!I107/Datasheet!E107</f>
        <v>0.30491126261637325</v>
      </c>
      <c r="F107" s="116">
        <f>(Datasheet!E107-Datasheet!D107)/Datasheet!D107</f>
        <v>4.064242446696182E-2</v>
      </c>
      <c r="G107" s="116">
        <f>(Datasheet!G107-Datasheet!F107)/Datasheet!F107</f>
        <v>-9.1100565889309006E-3</v>
      </c>
      <c r="H107" s="116">
        <f>(Datasheet!I107-Datasheet!H107)/Datasheet!H107</f>
        <v>0.17515093304061471</v>
      </c>
      <c r="I107" s="116">
        <f>(Datasheet!K107-Datasheet!J107)/Datasheet!J107</f>
        <v>0.25057603686635943</v>
      </c>
      <c r="J107" s="116">
        <f>Datasheet!F107/Datasheet!D107</f>
        <v>0.7299890706333475</v>
      </c>
      <c r="K107" s="116">
        <f>Datasheet!H107/Datasheet!D107</f>
        <v>0.27001092936665244</v>
      </c>
      <c r="L107" s="116">
        <f>Datasheet!R107/Datasheet!Q107</f>
        <v>0.89523809523809528</v>
      </c>
      <c r="M107" s="117">
        <f>(Datasheet!AB107-Datasheet!AA107)/Datasheet!AA107</f>
        <v>-9.4959824689554422E-3</v>
      </c>
      <c r="N107" s="118">
        <f>Datasheet!AC107/Datasheet!E107</f>
        <v>2.5989283870623207E-2</v>
      </c>
      <c r="O107" s="111">
        <f>SUM(Datasheet!AD107:AG107)</f>
        <v>850</v>
      </c>
      <c r="P107" s="111">
        <f>SUM(Datasheet!AH107:AK107)</f>
        <v>1125</v>
      </c>
      <c r="Q107" s="111">
        <f t="shared" si="1"/>
        <v>1975</v>
      </c>
      <c r="R107" s="118">
        <f>Q107/Datasheet!AC107</f>
        <v>0.67636986301369861</v>
      </c>
      <c r="S107" s="118">
        <f>Datasheet!AL107/Datasheet!G107</f>
        <v>1.2612681827494365E-2</v>
      </c>
      <c r="T107" s="118">
        <f>Datasheet!AM107/Datasheet!I107</f>
        <v>5.6483157218751821E-2</v>
      </c>
      <c r="U107" s="119">
        <f>O107/Datasheet!AL107</f>
        <v>0.86294416243654826</v>
      </c>
      <c r="V107" s="119">
        <f>P107/Datasheet!AM107</f>
        <v>0.58139534883720934</v>
      </c>
      <c r="W107" s="120">
        <f>((Datasheet!AP107-Datasheet!AO107)/Datasheet!AO107)*100</f>
        <v>13.515022745226227</v>
      </c>
      <c r="X107" s="119">
        <f>Datasheet!AQ107/Datasheet!AR107</f>
        <v>0.45879368086329964</v>
      </c>
      <c r="Y107" s="111">
        <f>Datasheet!AV107+Datasheet!AS107</f>
        <v>27319</v>
      </c>
      <c r="Z107" s="117">
        <f>Datasheet!AW107/(Datasheet!AS107+Datasheet!AV107)</f>
        <v>0.55598667593982209</v>
      </c>
      <c r="AA107" s="111">
        <f>Datasheet!AX107+Datasheet!AT107</f>
        <v>42300</v>
      </c>
      <c r="AB107" s="119">
        <f>Datasheet!AY107/(Datasheet!AT107+Datasheet!AX107)</f>
        <v>0.72758865248226945</v>
      </c>
      <c r="AC107" s="119">
        <f>Datasheet!AU107/(Datasheet!AU107+Datasheet!AZ107)</f>
        <v>0.93269463006199183</v>
      </c>
      <c r="AD107" s="119">
        <f>Datasheet!AZ107/(Datasheet!AU107+Datasheet!AZ107)</f>
        <v>6.7305369938008217E-2</v>
      </c>
      <c r="AE107" s="117">
        <f>(Datasheet!BB107-Datasheet!BA107)/Datasheet!BA107</f>
        <v>7.1034387610802607E-2</v>
      </c>
      <c r="AF107" s="118">
        <f>(Datasheet!AX107+Datasheet!AT107)/Datasheet!BB107</f>
        <v>0.68110458095161419</v>
      </c>
      <c r="AG107" s="111">
        <f>(Datasheet!AP107*1000)/Datasheet!E107</f>
        <v>741.80714527297653</v>
      </c>
      <c r="AH107" s="119">
        <f>Datasheet!BW107/SUM(Datasheet!$BW107:$BZ107)</f>
        <v>0.69930069930069927</v>
      </c>
      <c r="AI107" s="119">
        <f>Datasheet!BX107/SUM(Datasheet!$BW107:$BZ107)</f>
        <v>8.3916083916083919E-2</v>
      </c>
      <c r="AJ107" s="119">
        <f>Datasheet!BY107/SUM(Datasheet!$BW107:$BZ107)</f>
        <v>4.8951048951048952E-2</v>
      </c>
      <c r="AK107" s="119">
        <f>Datasheet!BZ107/SUM(Datasheet!$BW107:$BZ107)</f>
        <v>0.16783216783216784</v>
      </c>
      <c r="AL107" s="31">
        <f>Datasheet!BR107+Datasheet!BS107</f>
        <v>10</v>
      </c>
      <c r="AM107" s="31">
        <f>100-Datasheet!BV107</f>
        <v>7</v>
      </c>
      <c r="AN107" s="121">
        <f>(Datasheet!CL107-Datasheet!CK107)/Datasheet!CK107</f>
        <v>-4.0540540540540543E-2</v>
      </c>
    </row>
    <row r="108" spans="1:40">
      <c r="A108" s="42" t="s">
        <v>392</v>
      </c>
      <c r="B108" s="42" t="s">
        <v>393</v>
      </c>
      <c r="C108" s="42" t="s">
        <v>394</v>
      </c>
      <c r="D108" s="116">
        <f>Datasheet!G108/Datasheet!E108</f>
        <v>0.77628755712572517</v>
      </c>
      <c r="E108" s="116">
        <f>Datasheet!I108/Datasheet!E108</f>
        <v>0.22371244287427478</v>
      </c>
      <c r="F108" s="116">
        <f>(Datasheet!E108-Datasheet!D108)/Datasheet!D108</f>
        <v>2.1189694434147116E-2</v>
      </c>
      <c r="G108" s="116">
        <f>(Datasheet!G108-Datasheet!F108)/Datasheet!F108</f>
        <v>-2.2791255599892285E-2</v>
      </c>
      <c r="H108" s="116">
        <f>(Datasheet!I108-Datasheet!H108)/Datasheet!H108</f>
        <v>0.21019041273626257</v>
      </c>
      <c r="I108" s="116">
        <f>(Datasheet!K108-Datasheet!J108)/Datasheet!J108</f>
        <v>6.6999287241625086E-2</v>
      </c>
      <c r="J108" s="116">
        <f>Datasheet!F108/Datasheet!D108</f>
        <v>0.81122570566117669</v>
      </c>
      <c r="K108" s="116">
        <f>Datasheet!H108/Datasheet!D108</f>
        <v>0.18877429433882328</v>
      </c>
      <c r="L108" s="116">
        <f>Datasheet!R108/Datasheet!Q108</f>
        <v>0.8571428571428571</v>
      </c>
      <c r="M108" s="117">
        <f>(Datasheet!AB108-Datasheet!AA108)/Datasheet!AA108</f>
        <v>-0.14178482068390325</v>
      </c>
      <c r="N108" s="118">
        <f>Datasheet!AC108/Datasheet!E108</f>
        <v>1.3256409425339514E-2</v>
      </c>
      <c r="O108" s="111">
        <f>SUM(Datasheet!AD108:AG108)</f>
        <v>690</v>
      </c>
      <c r="P108" s="111">
        <f>SUM(Datasheet!AH108:AK108)</f>
        <v>715</v>
      </c>
      <c r="Q108" s="111">
        <f t="shared" si="1"/>
        <v>1405</v>
      </c>
      <c r="R108" s="118">
        <f>Q108/Datasheet!AC108</f>
        <v>0.68704156479217604</v>
      </c>
      <c r="S108" s="118">
        <f>Datasheet!AL108/Datasheet!G108</f>
        <v>6.8891227015381532E-3</v>
      </c>
      <c r="T108" s="118">
        <f>Datasheet!AM108/Datasheet!I108</f>
        <v>3.5351047492103965E-2</v>
      </c>
      <c r="U108" s="119">
        <f>O108/Datasheet!AL108</f>
        <v>0.83636363636363631</v>
      </c>
      <c r="V108" s="119">
        <f>P108/Datasheet!AM108</f>
        <v>0.58606557377049184</v>
      </c>
      <c r="W108" s="120">
        <f>((Datasheet!AP108-Datasheet!AO108)/Datasheet!AO108)*100</f>
        <v>10.875616650365959</v>
      </c>
      <c r="X108" s="119">
        <f>Datasheet!AQ108/Datasheet!AR108</f>
        <v>0.44569632721985086</v>
      </c>
      <c r="Y108" s="111">
        <f>Datasheet!AV108+Datasheet!AS108</f>
        <v>37981</v>
      </c>
      <c r="Z108" s="117">
        <f>Datasheet!AW108/(Datasheet!AS108+Datasheet!AV108)</f>
        <v>0.62510202469655884</v>
      </c>
      <c r="AA108" s="111">
        <f>Datasheet!AX108+Datasheet!AT108</f>
        <v>41782</v>
      </c>
      <c r="AB108" s="119">
        <f>Datasheet!AY108/(Datasheet!AT108+Datasheet!AX108)</f>
        <v>0.36577952228232252</v>
      </c>
      <c r="AC108" s="119">
        <f>Datasheet!AU108/(Datasheet!AU108+Datasheet!AZ108)</f>
        <v>0.97745877011417504</v>
      </c>
      <c r="AD108" s="119">
        <f>Datasheet!AZ108/(Datasheet!AU108+Datasheet!AZ108)</f>
        <v>2.254122988582493E-2</v>
      </c>
      <c r="AE108" s="117">
        <f>(Datasheet!BB108-Datasheet!BA108)/Datasheet!BA108</f>
        <v>0.11570494196874208</v>
      </c>
      <c r="AF108" s="118">
        <f>(Datasheet!AX108+Datasheet!AT108)/Datasheet!BB108</f>
        <v>0.55794885491086332</v>
      </c>
      <c r="AG108" s="111">
        <f>(Datasheet!AP108*1000)/Datasheet!E108</f>
        <v>668.73237610605122</v>
      </c>
      <c r="AH108" s="119">
        <f>Datasheet!BW108/SUM(Datasheet!$BW108:$BZ108)</f>
        <v>0.66272189349112431</v>
      </c>
      <c r="AI108" s="119">
        <f>Datasheet!BX108/SUM(Datasheet!$BW108:$BZ108)</f>
        <v>0.11834319526627218</v>
      </c>
      <c r="AJ108" s="119">
        <f>Datasheet!BY108/SUM(Datasheet!$BW108:$BZ108)</f>
        <v>6.5088757396449703E-2</v>
      </c>
      <c r="AK108" s="119">
        <f>Datasheet!BZ108/SUM(Datasheet!$BW108:$BZ108)</f>
        <v>0.15384615384615385</v>
      </c>
      <c r="AL108" s="31">
        <f>Datasheet!BR108+Datasheet!BS108</f>
        <v>48</v>
      </c>
      <c r="AM108" s="31">
        <f>100-Datasheet!BV108</f>
        <v>53</v>
      </c>
      <c r="AN108" s="121">
        <f>(Datasheet!CL108-Datasheet!CK108)/Datasheet!CK108</f>
        <v>0.32500000000000001</v>
      </c>
    </row>
    <row r="109" spans="1:40">
      <c r="A109" s="42" t="s">
        <v>395</v>
      </c>
      <c r="B109" s="42" t="s">
        <v>396</v>
      </c>
      <c r="C109" s="42" t="s">
        <v>397</v>
      </c>
      <c r="D109" s="116">
        <f>Datasheet!G109/Datasheet!E109</f>
        <v>0.78138500458702842</v>
      </c>
      <c r="E109" s="116">
        <f>Datasheet!I109/Datasheet!E109</f>
        <v>0.21861499541297155</v>
      </c>
      <c r="F109" s="116">
        <f>(Datasheet!E109-Datasheet!D109)/Datasheet!D109</f>
        <v>0.100326693422083</v>
      </c>
      <c r="G109" s="116">
        <f>(Datasheet!G109-Datasheet!F109)/Datasheet!F109</f>
        <v>8.6444949518375933E-2</v>
      </c>
      <c r="H109" s="116">
        <f>(Datasheet!I109-Datasheet!H109)/Datasheet!H109</f>
        <v>0.15298222978124451</v>
      </c>
      <c r="I109" s="116">
        <f>(Datasheet!K109-Datasheet!J109)/Datasheet!J109</f>
        <v>4.1585603112840465E-2</v>
      </c>
      <c r="J109" s="116">
        <f>Datasheet!F109/Datasheet!D109</f>
        <v>0.7913689310884886</v>
      </c>
      <c r="K109" s="116">
        <f>Datasheet!H109/Datasheet!D109</f>
        <v>0.20863106891151134</v>
      </c>
      <c r="L109" s="116">
        <f>Datasheet!R109/Datasheet!Q109</f>
        <v>0.86842105263157898</v>
      </c>
      <c r="M109" s="117">
        <f>(Datasheet!AB109-Datasheet!AA109)/Datasheet!AA109</f>
        <v>1.8507094386181369E-3</v>
      </c>
      <c r="N109" s="118">
        <f>Datasheet!AC109/Datasheet!E109</f>
        <v>2.3407745128019793E-2</v>
      </c>
      <c r="O109" s="111">
        <f>SUM(Datasheet!AD109:AG109)</f>
        <v>1460</v>
      </c>
      <c r="P109" s="111">
        <f>SUM(Datasheet!AH109:AK109)</f>
        <v>1350</v>
      </c>
      <c r="Q109" s="111">
        <f t="shared" si="1"/>
        <v>2810</v>
      </c>
      <c r="R109" s="118">
        <f>Q109/Datasheet!AC109</f>
        <v>0.66745843230403801</v>
      </c>
      <c r="S109" s="118">
        <f>Datasheet!AL109/Datasheet!G109</f>
        <v>1.2238856947686002E-2</v>
      </c>
      <c r="T109" s="118">
        <f>Datasheet!AM109/Datasheet!I109</f>
        <v>6.3328161957323437E-2</v>
      </c>
      <c r="U109" s="119">
        <f>O109/Datasheet!AL109</f>
        <v>0.84883720930232553</v>
      </c>
      <c r="V109" s="119">
        <f>P109/Datasheet!AM109</f>
        <v>0.54216867469879515</v>
      </c>
      <c r="W109" s="120">
        <f>((Datasheet!AP109-Datasheet!AO109)/Datasheet!AO109)*100</f>
        <v>9.5819392715106364</v>
      </c>
      <c r="X109" s="119">
        <f>Datasheet!AQ109/Datasheet!AR109</f>
        <v>0.43282795330303264</v>
      </c>
      <c r="Y109" s="111">
        <f>Datasheet!AV109+Datasheet!AS109</f>
        <v>70268</v>
      </c>
      <c r="Z109" s="117">
        <f>Datasheet!AW109/(Datasheet!AS109+Datasheet!AV109)</f>
        <v>0.53478112369784259</v>
      </c>
      <c r="AA109" s="111">
        <f>Datasheet!AX109+Datasheet!AT109</f>
        <v>53929</v>
      </c>
      <c r="AB109" s="119">
        <f>Datasheet!AY109/(Datasheet!AT109+Datasheet!AX109)</f>
        <v>0.4312522019692559</v>
      </c>
      <c r="AC109" s="119">
        <f>Datasheet!AU109/(Datasheet!AU109+Datasheet!AZ109)</f>
        <v>0.95110213142331901</v>
      </c>
      <c r="AD109" s="119">
        <f>Datasheet!AZ109/(Datasheet!AU109+Datasheet!AZ109)</f>
        <v>4.8897868576680943E-2</v>
      </c>
      <c r="AE109" s="117">
        <f>(Datasheet!BB109-Datasheet!BA109)/Datasheet!BA109</f>
        <v>6.6877596144061136E-2</v>
      </c>
      <c r="AF109" s="118">
        <f>(Datasheet!AX109+Datasheet!AT109)/Datasheet!BB109</f>
        <v>0.46763843845927056</v>
      </c>
      <c r="AG109" s="111">
        <f>(Datasheet!AP109*1000)/Datasheet!E109</f>
        <v>772.1275471907926</v>
      </c>
      <c r="AH109" s="119">
        <f>Datasheet!BW109/SUM(Datasheet!$BW109:$BZ109)</f>
        <v>0.77821011673151752</v>
      </c>
      <c r="AI109" s="119">
        <f>Datasheet!BX109/SUM(Datasheet!$BW109:$BZ109)</f>
        <v>7.3929961089494164E-2</v>
      </c>
      <c r="AJ109" s="119">
        <f>Datasheet!BY109/SUM(Datasheet!$BW109:$BZ109)</f>
        <v>3.1128404669260701E-2</v>
      </c>
      <c r="AK109" s="119">
        <f>Datasheet!BZ109/SUM(Datasheet!$BW109:$BZ109)</f>
        <v>0.11673151750972763</v>
      </c>
      <c r="AL109" s="31">
        <f>Datasheet!BR109+Datasheet!BS109</f>
        <v>25</v>
      </c>
      <c r="AM109" s="31">
        <f>100-Datasheet!BV109</f>
        <v>27</v>
      </c>
      <c r="AN109" s="121">
        <f>(Datasheet!CL109-Datasheet!CK109)/Datasheet!CK109</f>
        <v>-6.0029282576866766E-2</v>
      </c>
    </row>
    <row r="110" spans="1:40">
      <c r="A110" s="42" t="s">
        <v>398</v>
      </c>
      <c r="B110" s="42" t="s">
        <v>399</v>
      </c>
      <c r="C110" s="42" t="s">
        <v>400</v>
      </c>
      <c r="D110" s="116">
        <f>Datasheet!G110/Datasheet!E110</f>
        <v>0.74773081945284881</v>
      </c>
      <c r="E110" s="116">
        <f>Datasheet!I110/Datasheet!E110</f>
        <v>0.25226918054715119</v>
      </c>
      <c r="F110" s="116">
        <f>(Datasheet!E110-Datasheet!D110)/Datasheet!D110</f>
        <v>6.8663058963101264E-2</v>
      </c>
      <c r="G110" s="116">
        <f>(Datasheet!G110-Datasheet!F110)/Datasheet!F110</f>
        <v>5.2420594262295082E-2</v>
      </c>
      <c r="H110" s="116">
        <f>(Datasheet!I110-Datasheet!H110)/Datasheet!H110</f>
        <v>0.11989254913049625</v>
      </c>
      <c r="I110" s="116">
        <f>(Datasheet!K110-Datasheet!J110)/Datasheet!J110</f>
        <v>0.24213117636715314</v>
      </c>
      <c r="J110" s="116">
        <f>Datasheet!F110/Datasheet!D110</f>
        <v>0.75927087435759055</v>
      </c>
      <c r="K110" s="116">
        <f>Datasheet!H110/Datasheet!D110</f>
        <v>0.24072912564240947</v>
      </c>
      <c r="L110" s="116">
        <f>Datasheet!R110/Datasheet!Q110</f>
        <v>0.88414634146341464</v>
      </c>
      <c r="M110" s="117">
        <f>(Datasheet!AB110-Datasheet!AA110)/Datasheet!AA110</f>
        <v>9.8864114429953728E-2</v>
      </c>
      <c r="N110" s="118">
        <f>Datasheet!AC110/Datasheet!E110</f>
        <v>2.1906976109339241E-2</v>
      </c>
      <c r="O110" s="111">
        <f>SUM(Datasheet!AD110:AG110)</f>
        <v>1460</v>
      </c>
      <c r="P110" s="111">
        <f>SUM(Datasheet!AH110:AK110)</f>
        <v>2085</v>
      </c>
      <c r="Q110" s="111">
        <f t="shared" si="1"/>
        <v>3545</v>
      </c>
      <c r="R110" s="118">
        <f>Q110/Datasheet!AC110</f>
        <v>0.73624091381100731</v>
      </c>
      <c r="S110" s="118">
        <f>Datasheet!AL110/Datasheet!G110</f>
        <v>1.0404877514512067E-2</v>
      </c>
      <c r="T110" s="118">
        <f>Datasheet!AM110/Datasheet!I110</f>
        <v>5.5999422872292461E-2</v>
      </c>
      <c r="U110" s="119">
        <f>O110/Datasheet!AL110</f>
        <v>0.85380116959064323</v>
      </c>
      <c r="V110" s="119">
        <f>P110/Datasheet!AM110</f>
        <v>0.67149758454106279</v>
      </c>
      <c r="W110" s="120">
        <f>((Datasheet!AP110-Datasheet!AO110)/Datasheet!AO110)*100</f>
        <v>9.2069262412704482</v>
      </c>
      <c r="X110" s="119">
        <f>Datasheet!AQ110/Datasheet!AR110</f>
        <v>0.4969227987463502</v>
      </c>
      <c r="Y110" s="111">
        <f>Datasheet!AV110+Datasheet!AS110</f>
        <v>77534</v>
      </c>
      <c r="Z110" s="117">
        <f>Datasheet!AW110/(Datasheet!AS110+Datasheet!AV110)</f>
        <v>0.55365388087806644</v>
      </c>
      <c r="AA110" s="111">
        <f>Datasheet!AX110+Datasheet!AT110</f>
        <v>68578</v>
      </c>
      <c r="AB110" s="119">
        <f>Datasheet!AY110/(Datasheet!AT110+Datasheet!AX110)</f>
        <v>0.5844002449765231</v>
      </c>
      <c r="AC110" s="119">
        <f>Datasheet!AU110/(Datasheet!AU110+Datasheet!AZ110)</f>
        <v>0.960638539369568</v>
      </c>
      <c r="AD110" s="119">
        <f>Datasheet!AZ110/(Datasheet!AU110+Datasheet!AZ110)</f>
        <v>3.9361460630431964E-2</v>
      </c>
      <c r="AE110" s="117">
        <f>(Datasheet!BB110-Datasheet!BA110)/Datasheet!BA110</f>
        <v>0.13564924363093978</v>
      </c>
      <c r="AF110" s="118">
        <f>(Datasheet!AX110+Datasheet!AT110)/Datasheet!BB110</f>
        <v>0.55598975223764435</v>
      </c>
      <c r="AG110" s="111">
        <f>(Datasheet!AP110*1000)/Datasheet!E110</f>
        <v>779.05574790825915</v>
      </c>
      <c r="AH110" s="119">
        <f>Datasheet!BW110/SUM(Datasheet!$BW110:$BZ110)</f>
        <v>0.76</v>
      </c>
      <c r="AI110" s="119">
        <f>Datasheet!BX110/SUM(Datasheet!$BW110:$BZ110)</f>
        <v>7.3333333333333334E-2</v>
      </c>
      <c r="AJ110" s="119">
        <f>Datasheet!BY110/SUM(Datasheet!$BW110:$BZ110)</f>
        <v>0.04</v>
      </c>
      <c r="AK110" s="119">
        <f>Datasheet!BZ110/SUM(Datasheet!$BW110:$BZ110)</f>
        <v>0.12666666666666668</v>
      </c>
      <c r="AL110" s="31">
        <f>Datasheet!BR110+Datasheet!BS110</f>
        <v>18</v>
      </c>
      <c r="AM110" s="31">
        <f>100-Datasheet!BV110</f>
        <v>21</v>
      </c>
      <c r="AN110" s="121">
        <f>(Datasheet!CL110-Datasheet!CK110)/Datasheet!CK110</f>
        <v>-8.7248322147651006E-2</v>
      </c>
    </row>
    <row r="111" spans="1:40">
      <c r="A111" s="42" t="s">
        <v>401</v>
      </c>
      <c r="B111" s="42" t="s">
        <v>402</v>
      </c>
      <c r="C111" s="42" t="s">
        <v>403</v>
      </c>
      <c r="D111" s="116">
        <f>Datasheet!G111/Datasheet!E111</f>
        <v>0.6680249210145569</v>
      </c>
      <c r="E111" s="116">
        <f>Datasheet!I111/Datasheet!E111</f>
        <v>0.33197507898544304</v>
      </c>
      <c r="F111" s="116">
        <f>(Datasheet!E111-Datasheet!D111)/Datasheet!D111</f>
        <v>0.11367971062150609</v>
      </c>
      <c r="G111" s="116">
        <f>(Datasheet!G111-Datasheet!F111)/Datasheet!F111</f>
        <v>6.0218379492947186E-2</v>
      </c>
      <c r="H111" s="116">
        <f>(Datasheet!I111-Datasheet!H111)/Datasheet!H111</f>
        <v>0.23944438319920627</v>
      </c>
      <c r="I111" s="116">
        <f>(Datasheet!K111-Datasheet!J111)/Datasheet!J111</f>
        <v>0.36585365853658536</v>
      </c>
      <c r="J111" s="116">
        <f>Datasheet!F111/Datasheet!D111</f>
        <v>0.70170996382768824</v>
      </c>
      <c r="K111" s="116">
        <f>Datasheet!H111/Datasheet!D111</f>
        <v>0.29829003617231176</v>
      </c>
      <c r="L111" s="116">
        <f>Datasheet!R111/Datasheet!Q111</f>
        <v>0.92307692307692313</v>
      </c>
      <c r="M111" s="117">
        <f>(Datasheet!AB111-Datasheet!AA111)/Datasheet!AA111</f>
        <v>4.4444444444444444E-3</v>
      </c>
      <c r="N111" s="118">
        <f>Datasheet!AC111/Datasheet!E111</f>
        <v>1.4468361531874686E-2</v>
      </c>
      <c r="O111" s="111">
        <f>SUM(Datasheet!AD111:AG111)</f>
        <v>105</v>
      </c>
      <c r="P111" s="111">
        <f>SUM(Datasheet!AH111:AK111)</f>
        <v>205</v>
      </c>
      <c r="Q111" s="111">
        <f t="shared" si="1"/>
        <v>310</v>
      </c>
      <c r="R111" s="118">
        <f>Q111/Datasheet!AC111</f>
        <v>0.63265306122448983</v>
      </c>
      <c r="S111" s="118">
        <f>Datasheet!AL111/Datasheet!G111</f>
        <v>5.5251060820367751E-3</v>
      </c>
      <c r="T111" s="118">
        <f>Datasheet!AM111/Datasheet!I111</f>
        <v>3.2464644667793294E-2</v>
      </c>
      <c r="U111" s="119">
        <f>O111/Datasheet!AL111</f>
        <v>0.84</v>
      </c>
      <c r="V111" s="119">
        <f>P111/Datasheet!AM111</f>
        <v>0.56164383561643838</v>
      </c>
      <c r="W111" s="120">
        <f>((Datasheet!AP111-Datasheet!AO111)/Datasheet!AO111)*100</f>
        <v>21.486387049300955</v>
      </c>
      <c r="X111" s="119">
        <f>Datasheet!AQ111/Datasheet!AR111</f>
        <v>0.46375180497749086</v>
      </c>
      <c r="Y111" s="111">
        <f>Datasheet!AV111+Datasheet!AS111</f>
        <v>7825</v>
      </c>
      <c r="Z111" s="117">
        <f>Datasheet!AW111/(Datasheet!AS111+Datasheet!AV111)</f>
        <v>0.55437699680511177</v>
      </c>
      <c r="AA111" s="111">
        <f>Datasheet!AX111+Datasheet!AT111</f>
        <v>13377</v>
      </c>
      <c r="AB111" s="119">
        <f>Datasheet!AY111/(Datasheet!AT111+Datasheet!AX111)</f>
        <v>0.63519473723555353</v>
      </c>
      <c r="AC111" s="119">
        <f>Datasheet!AU111/(Datasheet!AU111+Datasheet!AZ111)</f>
        <v>0.90121985815602834</v>
      </c>
      <c r="AD111" s="119">
        <f>Datasheet!AZ111/(Datasheet!AU111+Datasheet!AZ111)</f>
        <v>9.8780141843971631E-2</v>
      </c>
      <c r="AE111" s="117">
        <f>(Datasheet!BB111-Datasheet!BA111)/Datasheet!BA111</f>
        <v>8.9509797861160909E-2</v>
      </c>
      <c r="AF111" s="118">
        <f>(Datasheet!AX111+Datasheet!AT111)/Datasheet!BB111</f>
        <v>0.75897872340425532</v>
      </c>
      <c r="AG111" s="111">
        <f>(Datasheet!AP111*1000)/Datasheet!E111</f>
        <v>731.24280272831959</v>
      </c>
      <c r="AH111" s="119">
        <f>Datasheet!BW111/SUM(Datasheet!$BW111:$BZ111)</f>
        <v>0.69767441860465118</v>
      </c>
      <c r="AI111" s="119">
        <f>Datasheet!BX111/SUM(Datasheet!$BW111:$BZ111)</f>
        <v>9.3023255813953487E-2</v>
      </c>
      <c r="AJ111" s="119">
        <f>Datasheet!BY111/SUM(Datasheet!$BW111:$BZ111)</f>
        <v>4.6511627906976744E-2</v>
      </c>
      <c r="AK111" s="119">
        <f>Datasheet!BZ111/SUM(Datasheet!$BW111:$BZ111)</f>
        <v>0.16279069767441862</v>
      </c>
      <c r="AL111" s="31">
        <f>Datasheet!BR111+Datasheet!BS111</f>
        <v>32</v>
      </c>
      <c r="AM111" s="31">
        <f>100-Datasheet!BV111</f>
        <v>27</v>
      </c>
      <c r="AN111" s="121">
        <f>(Datasheet!CL111-Datasheet!CK111)/Datasheet!CK111</f>
        <v>-0.2</v>
      </c>
    </row>
    <row r="112" spans="1:40">
      <c r="A112" s="42" t="s">
        <v>404</v>
      </c>
      <c r="B112" s="42" t="s">
        <v>405</v>
      </c>
      <c r="C112" s="42" t="s">
        <v>406</v>
      </c>
      <c r="D112" s="116">
        <f>Datasheet!G112/Datasheet!E112</f>
        <v>0.84042476126354548</v>
      </c>
      <c r="E112" s="116">
        <f>Datasheet!I112/Datasheet!E112</f>
        <v>0.15957523873645454</v>
      </c>
      <c r="F112" s="116">
        <f>(Datasheet!E112-Datasheet!D112)/Datasheet!D112</f>
        <v>0.21441212999379011</v>
      </c>
      <c r="G112" s="116">
        <f>(Datasheet!G112-Datasheet!F112)/Datasheet!F112</f>
        <v>0.25053895708633456</v>
      </c>
      <c r="H112" s="116">
        <f>(Datasheet!I112-Datasheet!H112)/Datasheet!H112</f>
        <v>5.4041882458905649E-2</v>
      </c>
      <c r="I112" s="116">
        <f>(Datasheet!K112-Datasheet!J112)/Datasheet!J112</f>
        <v>7.8843626806833107E-3</v>
      </c>
      <c r="J112" s="116">
        <f>Datasheet!F112/Datasheet!D112</f>
        <v>0.81614572552266607</v>
      </c>
      <c r="K112" s="116">
        <f>Datasheet!H112/Datasheet!D112</f>
        <v>0.18385427447733388</v>
      </c>
      <c r="L112" s="116">
        <f>Datasheet!R112/Datasheet!Q112</f>
        <v>0.83333333333333337</v>
      </c>
      <c r="M112" s="117">
        <f>(Datasheet!AB112-Datasheet!AA112)/Datasheet!AA112</f>
        <v>-7.8843626806833107E-3</v>
      </c>
      <c r="N112" s="118">
        <f>Datasheet!AC112/Datasheet!E112</f>
        <v>2.0901424535417368E-2</v>
      </c>
      <c r="O112" s="111">
        <f>SUM(Datasheet!AD112:AG112)</f>
        <v>1475</v>
      </c>
      <c r="P112" s="111">
        <f>SUM(Datasheet!AH112:AK112)</f>
        <v>2130</v>
      </c>
      <c r="Q112" s="111">
        <f t="shared" si="1"/>
        <v>3605</v>
      </c>
      <c r="R112" s="118">
        <f>Q112/Datasheet!AC112</f>
        <v>0.7349643221202854</v>
      </c>
      <c r="S112" s="118">
        <f>Datasheet!AL112/Datasheet!G112</f>
        <v>8.4674863734313602E-3</v>
      </c>
      <c r="T112" s="118">
        <f>Datasheet!AM112/Datasheet!I112</f>
        <v>8.6386455885494554E-2</v>
      </c>
      <c r="U112" s="119">
        <f>O112/Datasheet!AL112</f>
        <v>0.88323353293413176</v>
      </c>
      <c r="V112" s="119">
        <f>P112/Datasheet!AM112</f>
        <v>0.65842349304482228</v>
      </c>
      <c r="W112" s="120">
        <f>((Datasheet!AP112-Datasheet!AO112)/Datasheet!AO112)*100</f>
        <v>8.8869982210534459</v>
      </c>
      <c r="X112" s="119">
        <f>Datasheet!AQ112/Datasheet!AR112</f>
        <v>0.34332089139805971</v>
      </c>
      <c r="Y112" s="111">
        <f>Datasheet!AV112+Datasheet!AS112</f>
        <v>59917</v>
      </c>
      <c r="Z112" s="117">
        <f>Datasheet!AW112/(Datasheet!AS112+Datasheet!AV112)</f>
        <v>0.50740190596992507</v>
      </c>
      <c r="AA112" s="111">
        <f>Datasheet!AX112+Datasheet!AT112</f>
        <v>52426</v>
      </c>
      <c r="AB112" s="119">
        <f>Datasheet!AY112/(Datasheet!AT112+Datasheet!AX112)</f>
        <v>0.6768588105138672</v>
      </c>
      <c r="AC112" s="119">
        <f>Datasheet!AU112/(Datasheet!AU112+Datasheet!AZ112)</f>
        <v>0.95354655487186424</v>
      </c>
      <c r="AD112" s="119">
        <f>Datasheet!AZ112/(Datasheet!AU112+Datasheet!AZ112)</f>
        <v>4.6453445128135776E-2</v>
      </c>
      <c r="AE112" s="117">
        <f>(Datasheet!BB112-Datasheet!BA112)/Datasheet!BA112</f>
        <v>0.4863316582914573</v>
      </c>
      <c r="AF112" s="118">
        <f>(Datasheet!AX112+Datasheet!AT112)/Datasheet!BB112</f>
        <v>0.50641886344097442</v>
      </c>
      <c r="AG112" s="111">
        <f>(Datasheet!AP112*1000)/Datasheet!E112</f>
        <v>599.89858228258049</v>
      </c>
      <c r="AH112" s="119">
        <f>Datasheet!BW112/SUM(Datasheet!$BW112:$BZ112)</f>
        <v>0.77876106194690264</v>
      </c>
      <c r="AI112" s="119">
        <f>Datasheet!BX112/SUM(Datasheet!$BW112:$BZ112)</f>
        <v>7.9646017699115043E-2</v>
      </c>
      <c r="AJ112" s="119">
        <f>Datasheet!BY112/SUM(Datasheet!$BW112:$BZ112)</f>
        <v>2.6548672566371681E-2</v>
      </c>
      <c r="AK112" s="119">
        <f>Datasheet!BZ112/SUM(Datasheet!$BW112:$BZ112)</f>
        <v>0.11504424778761062</v>
      </c>
      <c r="AL112" s="31">
        <f>Datasheet!BR112+Datasheet!BS112</f>
        <v>26</v>
      </c>
      <c r="AM112" s="31">
        <f>100-Datasheet!BV112</f>
        <v>32</v>
      </c>
      <c r="AN112" s="121">
        <f>(Datasheet!CL112-Datasheet!CK112)/Datasheet!CK112</f>
        <v>-0.2</v>
      </c>
    </row>
    <row r="113" spans="1:40">
      <c r="A113" s="42" t="s">
        <v>407</v>
      </c>
      <c r="B113" s="42" t="s">
        <v>408</v>
      </c>
      <c r="C113" s="42" t="s">
        <v>409</v>
      </c>
      <c r="D113" s="116">
        <f>Datasheet!G113/Datasheet!E113</f>
        <v>0.80648058717637461</v>
      </c>
      <c r="E113" s="116">
        <f>Datasheet!I113/Datasheet!E113</f>
        <v>0.19351941282362536</v>
      </c>
      <c r="F113" s="116">
        <f>(Datasheet!E113-Datasheet!D113)/Datasheet!D113</f>
        <v>8.4347709147516797E-2</v>
      </c>
      <c r="G113" s="116">
        <f>(Datasheet!G113-Datasheet!F113)/Datasheet!F113</f>
        <v>9.1542597292939357E-2</v>
      </c>
      <c r="H113" s="116">
        <f>(Datasheet!I113-Datasheet!H113)/Datasheet!H113</f>
        <v>5.5357435645187733E-2</v>
      </c>
      <c r="I113" s="116">
        <f>(Datasheet!K113-Datasheet!J113)/Datasheet!J113</f>
        <v>5.3808202281837803E-2</v>
      </c>
      <c r="J113" s="116">
        <f>Datasheet!F113/Datasheet!D113</f>
        <v>0.80116468138343611</v>
      </c>
      <c r="K113" s="116">
        <f>Datasheet!H113/Datasheet!D113</f>
        <v>0.19883531861656389</v>
      </c>
      <c r="L113" s="116">
        <f>Datasheet!R113/Datasheet!Q113</f>
        <v>0.87878787878787878</v>
      </c>
      <c r="M113" s="117">
        <f>(Datasheet!AB113-Datasheet!AA113)/Datasheet!AA113</f>
        <v>-3.6446469248291574E-3</v>
      </c>
      <c r="N113" s="118">
        <f>Datasheet!AC113/Datasheet!E113</f>
        <v>1.9166663534858901E-2</v>
      </c>
      <c r="O113" s="111">
        <f>SUM(Datasheet!AD113:AG113)</f>
        <v>1365</v>
      </c>
      <c r="P113" s="111">
        <f>SUM(Datasheet!AH113:AK113)</f>
        <v>2150</v>
      </c>
      <c r="Q113" s="111">
        <f t="shared" si="1"/>
        <v>3515</v>
      </c>
      <c r="R113" s="118">
        <f>Q113/Datasheet!AC113</f>
        <v>0.6892156862745098</v>
      </c>
      <c r="S113" s="118">
        <f>Datasheet!AL113/Datasheet!G113</f>
        <v>7.5491393049199884E-3</v>
      </c>
      <c r="T113" s="118">
        <f>Datasheet!AM113/Datasheet!I113</f>
        <v>6.7582001437088535E-2</v>
      </c>
      <c r="U113" s="119">
        <f>O113/Datasheet!AL113</f>
        <v>0.84259259259259256</v>
      </c>
      <c r="V113" s="119">
        <f>P113/Datasheet!AM113</f>
        <v>0.61781609195402298</v>
      </c>
      <c r="W113" s="120">
        <f>((Datasheet!AP113-Datasheet!AO113)/Datasheet!AO113)*100</f>
        <v>0</v>
      </c>
      <c r="X113" s="119" t="e">
        <f>Datasheet!AQ113/Datasheet!AR113</f>
        <v>#VALUE!</v>
      </c>
      <c r="Y113" s="111">
        <f>Datasheet!AV113+Datasheet!AS113</f>
        <v>58808</v>
      </c>
      <c r="Z113" s="117">
        <f>Datasheet!AW113/(Datasheet!AS113+Datasheet!AV113)</f>
        <v>0.68427764929941504</v>
      </c>
      <c r="AA113" s="111">
        <f>Datasheet!AX113+Datasheet!AT113</f>
        <v>86767</v>
      </c>
      <c r="AB113" s="119">
        <f>Datasheet!AY113/(Datasheet!AT113+Datasheet!AX113)</f>
        <v>0.62836101282745749</v>
      </c>
      <c r="AC113" s="119">
        <f>Datasheet!AU113/(Datasheet!AU113+Datasheet!AZ113)</f>
        <v>0.91599519148205388</v>
      </c>
      <c r="AD113" s="119">
        <f>Datasheet!AZ113/(Datasheet!AU113+Datasheet!AZ113)</f>
        <v>8.4004808517946075E-2</v>
      </c>
      <c r="AE113" s="117">
        <f>(Datasheet!BB113-Datasheet!BA113)/Datasheet!BA113</f>
        <v>0.13435359572362526</v>
      </c>
      <c r="AF113" s="118">
        <f>(Datasheet!AX113+Datasheet!AT113)/Datasheet!BB113</f>
        <v>0.59602953803881165</v>
      </c>
      <c r="AG113" s="111">
        <f>(Datasheet!AP113*1000)/Datasheet!E113</f>
        <v>620.68045413718073</v>
      </c>
      <c r="AH113" s="119">
        <f>Datasheet!BW113/SUM(Datasheet!$BW113:$BZ113)</f>
        <v>0.76595744680851063</v>
      </c>
      <c r="AI113" s="119">
        <f>Datasheet!BX113/SUM(Datasheet!$BW113:$BZ113)</f>
        <v>7.4468085106382975E-2</v>
      </c>
      <c r="AJ113" s="119">
        <f>Datasheet!BY113/SUM(Datasheet!$BW113:$BZ113)</f>
        <v>3.1914893617021274E-2</v>
      </c>
      <c r="AK113" s="119">
        <f>Datasheet!BZ113/SUM(Datasheet!$BW113:$BZ113)</f>
        <v>0.1276595744680851</v>
      </c>
      <c r="AL113" s="31">
        <f>Datasheet!BR113+Datasheet!BS113</f>
        <v>24</v>
      </c>
      <c r="AM113" s="31">
        <f>100-Datasheet!BV113</f>
        <v>45</v>
      </c>
      <c r="AN113" s="121">
        <f>(Datasheet!CL113-Datasheet!CK113)/Datasheet!CK113</f>
        <v>-0.10714285714285714</v>
      </c>
    </row>
    <row r="114" spans="1:40">
      <c r="A114" s="42" t="s">
        <v>410</v>
      </c>
      <c r="B114" s="42" t="s">
        <v>411</v>
      </c>
      <c r="C114" s="42" t="s">
        <v>412</v>
      </c>
      <c r="D114" s="116">
        <f>Datasheet!G114/Datasheet!E114</f>
        <v>0.70172194862467185</v>
      </c>
      <c r="E114" s="116">
        <f>Datasheet!I114/Datasheet!E114</f>
        <v>0.2982780513753282</v>
      </c>
      <c r="F114" s="116">
        <f>(Datasheet!E114-Datasheet!D114)/Datasheet!D114</f>
        <v>4.6998796284651728E-2</v>
      </c>
      <c r="G114" s="116">
        <f>(Datasheet!G114-Datasheet!F114)/Datasheet!F114</f>
        <v>1.5596187874460621E-2</v>
      </c>
      <c r="H114" s="116">
        <f>(Datasheet!I114-Datasheet!H114)/Datasheet!H114</f>
        <v>0.12913493236330567</v>
      </c>
      <c r="I114" s="116">
        <f>(Datasheet!K114-Datasheet!J114)/Datasheet!J114</f>
        <v>0.19817902329431242</v>
      </c>
      <c r="J114" s="116">
        <f>Datasheet!F114/Datasheet!D114</f>
        <v>0.72341944988411999</v>
      </c>
      <c r="K114" s="116">
        <f>Datasheet!H114/Datasheet!D114</f>
        <v>0.27658055011588006</v>
      </c>
      <c r="L114" s="116">
        <f>Datasheet!R114/Datasheet!Q114</f>
        <v>0.8651685393258427</v>
      </c>
      <c r="M114" s="117">
        <f>(Datasheet!AB114-Datasheet!AA114)/Datasheet!AA114</f>
        <v>-8.4340736575766097E-3</v>
      </c>
      <c r="N114" s="118">
        <f>Datasheet!AC114/Datasheet!E114</f>
        <v>2.4409286682567737E-2</v>
      </c>
      <c r="O114" s="111">
        <f>SUM(Datasheet!AD114:AG114)</f>
        <v>1590</v>
      </c>
      <c r="P114" s="111">
        <f>SUM(Datasheet!AH114:AK114)</f>
        <v>2100</v>
      </c>
      <c r="Q114" s="111">
        <f t="shared" si="1"/>
        <v>3690</v>
      </c>
      <c r="R114" s="118">
        <f>Q114/Datasheet!AC114</f>
        <v>0.64850615114235499</v>
      </c>
      <c r="S114" s="118">
        <f>Datasheet!AL114/Datasheet!G114</f>
        <v>1.1309658448314861E-2</v>
      </c>
      <c r="T114" s="118">
        <f>Datasheet!AM114/Datasheet!I114</f>
        <v>5.522716486171636E-2</v>
      </c>
      <c r="U114" s="119">
        <f>O114/Datasheet!AL114</f>
        <v>0.85945945945945945</v>
      </c>
      <c r="V114" s="119">
        <f>P114/Datasheet!AM114</f>
        <v>0.546875</v>
      </c>
      <c r="W114" s="120">
        <f>((Datasheet!AP114-Datasheet!AO114)/Datasheet!AO114)*100</f>
        <v>7.1019035712746108</v>
      </c>
      <c r="X114" s="119">
        <f>Datasheet!AQ114/Datasheet!AR114</f>
        <v>0.42189027997440509</v>
      </c>
      <c r="Y114" s="111">
        <f>Datasheet!AV114+Datasheet!AS114</f>
        <v>56611</v>
      </c>
      <c r="Z114" s="117">
        <f>Datasheet!AW114/(Datasheet!AS114+Datasheet!AV114)</f>
        <v>0.58234265425447351</v>
      </c>
      <c r="AA114" s="111">
        <f>Datasheet!AX114+Datasheet!AT114</f>
        <v>88003</v>
      </c>
      <c r="AB114" s="119">
        <f>Datasheet!AY114/(Datasheet!AT114+Datasheet!AX114)</f>
        <v>0.60592252536845337</v>
      </c>
      <c r="AC114" s="119">
        <f>Datasheet!AU114/(Datasheet!AU114+Datasheet!AZ114)</f>
        <v>0.96914290806740289</v>
      </c>
      <c r="AD114" s="119">
        <f>Datasheet!AZ114/(Datasheet!AU114+Datasheet!AZ114)</f>
        <v>3.0857091932597121E-2</v>
      </c>
      <c r="AE114" s="117">
        <f>(Datasheet!BB114-Datasheet!BA114)/Datasheet!BA114</f>
        <v>0.10178949866217178</v>
      </c>
      <c r="AF114" s="118">
        <f>(Datasheet!AX114+Datasheet!AT114)/Datasheet!BB114</f>
        <v>0.6535539497820323</v>
      </c>
      <c r="AG114" s="111">
        <f>(Datasheet!AP114*1000)/Datasheet!E114</f>
        <v>746.0533315029943</v>
      </c>
      <c r="AH114" s="119">
        <f>Datasheet!BW114/SUM(Datasheet!$BW114:$BZ114)</f>
        <v>0.74881516587677721</v>
      </c>
      <c r="AI114" s="119">
        <f>Datasheet!BX114/SUM(Datasheet!$BW114:$BZ114)</f>
        <v>7.582938388625593E-2</v>
      </c>
      <c r="AJ114" s="119">
        <f>Datasheet!BY114/SUM(Datasheet!$BW114:$BZ114)</f>
        <v>4.2654028436018961E-2</v>
      </c>
      <c r="AK114" s="119">
        <f>Datasheet!BZ114/SUM(Datasheet!$BW114:$BZ114)</f>
        <v>0.13270142180094788</v>
      </c>
      <c r="AL114" s="31">
        <f>Datasheet!BR114+Datasheet!BS114</f>
        <v>21</v>
      </c>
      <c r="AM114" s="31">
        <f>100-Datasheet!BV114</f>
        <v>19</v>
      </c>
      <c r="AN114" s="121">
        <f>(Datasheet!CL114-Datasheet!CK114)/Datasheet!CK114</f>
        <v>-7.1428571428571425E-2</v>
      </c>
    </row>
    <row r="115" spans="1:40">
      <c r="A115" s="42" t="s">
        <v>413</v>
      </c>
      <c r="B115" s="42" t="s">
        <v>414</v>
      </c>
      <c r="C115" s="42" t="s">
        <v>415</v>
      </c>
      <c r="D115" s="116">
        <f>Datasheet!G115/Datasheet!E115</f>
        <v>0.78733624828900117</v>
      </c>
      <c r="E115" s="116">
        <f>Datasheet!I115/Datasheet!E115</f>
        <v>0.21266375171099888</v>
      </c>
      <c r="F115" s="116">
        <f>(Datasheet!E115-Datasheet!D115)/Datasheet!D115</f>
        <v>5.4603377159936559E-2</v>
      </c>
      <c r="G115" s="116">
        <f>(Datasheet!G115-Datasheet!F115)/Datasheet!F115</f>
        <v>4.8056272704425508E-2</v>
      </c>
      <c r="H115" s="116">
        <f>(Datasheet!I115-Datasheet!H115)/Datasheet!H115</f>
        <v>7.9571321215025539E-2</v>
      </c>
      <c r="I115" s="116">
        <f>(Datasheet!K115-Datasheet!J115)/Datasheet!J115</f>
        <v>0.10991034261927633</v>
      </c>
      <c r="J115" s="116">
        <f>Datasheet!F115/Datasheet!D115</f>
        <v>0.79225466039473358</v>
      </c>
      <c r="K115" s="116">
        <f>Datasheet!H115/Datasheet!D115</f>
        <v>0.20774533960526642</v>
      </c>
      <c r="L115" s="116">
        <f>Datasheet!R115/Datasheet!Q115</f>
        <v>0.86578947368421055</v>
      </c>
      <c r="M115" s="117">
        <f>(Datasheet!AB115-Datasheet!AA115)/Datasheet!AA115</f>
        <v>4.2765502494654314E-3</v>
      </c>
      <c r="N115" s="118">
        <f>Datasheet!AC115/Datasheet!E115</f>
        <v>2.295634861039E-2</v>
      </c>
      <c r="O115" s="111">
        <f>SUM(Datasheet!AD115:AG115)</f>
        <v>3430</v>
      </c>
      <c r="P115" s="111">
        <f>SUM(Datasheet!AH115:AK115)</f>
        <v>4645</v>
      </c>
      <c r="Q115" s="111">
        <f t="shared" si="1"/>
        <v>8075</v>
      </c>
      <c r="R115" s="118">
        <f>Q115/Datasheet!AC115</f>
        <v>0.75467289719626163</v>
      </c>
      <c r="S115" s="118">
        <f>Datasheet!AL115/Datasheet!G115</f>
        <v>1.0627311099545206E-2</v>
      </c>
      <c r="T115" s="118">
        <f>Datasheet!AM115/Datasheet!I115</f>
        <v>6.8601636350796483E-2</v>
      </c>
      <c r="U115" s="119">
        <f>O115/Datasheet!AL115</f>
        <v>0.87948717948717947</v>
      </c>
      <c r="V115" s="119">
        <f>P115/Datasheet!AM115</f>
        <v>0.68308823529411766</v>
      </c>
      <c r="W115" s="120">
        <f>((Datasheet!AP115-Datasheet!AO115)/Datasheet!AO115)*100</f>
        <v>14.833312166624331</v>
      </c>
      <c r="X115" s="119">
        <f>Datasheet!AQ115/Datasheet!AR115</f>
        <v>0.55779045281955197</v>
      </c>
      <c r="Y115" s="111">
        <f>Datasheet!AV115+Datasheet!AS115</f>
        <v>159631</v>
      </c>
      <c r="Z115" s="117">
        <f>Datasheet!AW115/(Datasheet!AS115+Datasheet!AV115)</f>
        <v>0.5697326960302197</v>
      </c>
      <c r="AA115" s="111">
        <f>Datasheet!AX115+Datasheet!AT115</f>
        <v>141929</v>
      </c>
      <c r="AB115" s="119">
        <f>Datasheet!AY115/(Datasheet!AT115+Datasheet!AX115)</f>
        <v>0.5758513059346575</v>
      </c>
      <c r="AC115" s="119">
        <f>Datasheet!AU115/(Datasheet!AU115+Datasheet!AZ115)</f>
        <v>0.98872785829307563</v>
      </c>
      <c r="AD115" s="119">
        <f>Datasheet!AZ115/(Datasheet!AU115+Datasheet!AZ115)</f>
        <v>1.1272141706924315E-2</v>
      </c>
      <c r="AE115" s="117">
        <f>(Datasheet!BB115-Datasheet!BA115)/Datasheet!BA115</f>
        <v>0.11788512089113291</v>
      </c>
      <c r="AF115" s="118">
        <f>(Datasheet!AX115+Datasheet!AT115)/Datasheet!BB115</f>
        <v>0.55072075742583859</v>
      </c>
      <c r="AG115" s="111">
        <f>(Datasheet!AP115*1000)/Datasheet!E115</f>
        <v>775.96534664086403</v>
      </c>
      <c r="AH115" s="119">
        <f>Datasheet!BW115/SUM(Datasheet!$BW115:$BZ115)</f>
        <v>0.74675324675324672</v>
      </c>
      <c r="AI115" s="119">
        <f>Datasheet!BX115/SUM(Datasheet!$BW115:$BZ115)</f>
        <v>7.792207792207792E-2</v>
      </c>
      <c r="AJ115" s="119">
        <f>Datasheet!BY115/SUM(Datasheet!$BW115:$BZ115)</f>
        <v>4.5454545454545456E-2</v>
      </c>
      <c r="AK115" s="119">
        <f>Datasheet!BZ115/SUM(Datasheet!$BW115:$BZ115)</f>
        <v>0.12987012987012986</v>
      </c>
      <c r="AL115" s="31">
        <f>Datasheet!BR115+Datasheet!BS115</f>
        <v>25</v>
      </c>
      <c r="AM115" s="31">
        <f>100-Datasheet!BV115</f>
        <v>36</v>
      </c>
      <c r="AN115" s="121">
        <f>(Datasheet!CL115-Datasheet!CK115)/Datasheet!CK115</f>
        <v>-0.14380464274947241</v>
      </c>
    </row>
    <row r="116" spans="1:40">
      <c r="A116" s="42" t="s">
        <v>416</v>
      </c>
      <c r="B116" s="42" t="s">
        <v>417</v>
      </c>
      <c r="C116" s="42" t="s">
        <v>418</v>
      </c>
      <c r="D116" s="116">
        <f>Datasheet!G116/Datasheet!E116</f>
        <v>0.67102497482082646</v>
      </c>
      <c r="E116" s="116">
        <f>Datasheet!I116/Datasheet!E116</f>
        <v>0.32897502517917354</v>
      </c>
      <c r="F116" s="116">
        <f>(Datasheet!E116-Datasheet!D116)/Datasheet!D116</f>
        <v>8.872758767277307E-2</v>
      </c>
      <c r="G116" s="116">
        <f>(Datasheet!G116-Datasheet!F116)/Datasheet!F116</f>
        <v>2.8410838623081011E-2</v>
      </c>
      <c r="H116" s="116">
        <f>(Datasheet!I116-Datasheet!H116)/Datasheet!H116</f>
        <v>0.23667315975746933</v>
      </c>
      <c r="I116" s="116">
        <f>(Datasheet!K116-Datasheet!J116)/Datasheet!J116</f>
        <v>0.31958012887133652</v>
      </c>
      <c r="J116" s="116">
        <f>Datasheet!F116/Datasheet!D116</f>
        <v>0.71038088540859667</v>
      </c>
      <c r="K116" s="116">
        <f>Datasheet!H116/Datasheet!D116</f>
        <v>0.28961911459140338</v>
      </c>
      <c r="L116" s="116">
        <f>Datasheet!R116/Datasheet!Q116</f>
        <v>0.87116564417177911</v>
      </c>
      <c r="M116" s="117">
        <f>(Datasheet!AB116-Datasheet!AA116)/Datasheet!AA116</f>
        <v>3.9731543624161071E-2</v>
      </c>
      <c r="N116" s="118">
        <f>Datasheet!AC116/Datasheet!E116</f>
        <v>2.1073873505670786E-2</v>
      </c>
      <c r="O116" s="111">
        <f>SUM(Datasheet!AD116:AG116)</f>
        <v>1975</v>
      </c>
      <c r="P116" s="111">
        <f>SUM(Datasheet!AH116:AK116)</f>
        <v>1980</v>
      </c>
      <c r="Q116" s="111">
        <f t="shared" si="1"/>
        <v>3955</v>
      </c>
      <c r="R116" s="118">
        <f>Q116/Datasheet!AC116</f>
        <v>0.68484848484848482</v>
      </c>
      <c r="S116" s="118">
        <f>Datasheet!AL116/Datasheet!G116</f>
        <v>1.1828044701851701E-2</v>
      </c>
      <c r="T116" s="118">
        <f>Datasheet!AM116/Datasheet!I116</f>
        <v>3.993300129782254E-2</v>
      </c>
      <c r="U116" s="119">
        <f>O116/Datasheet!AL116</f>
        <v>0.90804597701149425</v>
      </c>
      <c r="V116" s="119">
        <f>P116/Datasheet!AM116</f>
        <v>0.55000000000000004</v>
      </c>
      <c r="W116" s="120">
        <f>((Datasheet!AP116-Datasheet!AO116)/Datasheet!AO116)*100</f>
        <v>10.694184820532673</v>
      </c>
      <c r="X116" s="119">
        <f>Datasheet!AQ116/Datasheet!AR116</f>
        <v>0.61129746365562954</v>
      </c>
      <c r="Y116" s="111">
        <f>Datasheet!AV116+Datasheet!AS116</f>
        <v>80735</v>
      </c>
      <c r="Z116" s="117">
        <f>Datasheet!AW116/(Datasheet!AS116+Datasheet!AV116)</f>
        <v>0.62497058277079331</v>
      </c>
      <c r="AA116" s="111">
        <f>Datasheet!AX116+Datasheet!AT116</f>
        <v>108008</v>
      </c>
      <c r="AB116" s="119">
        <f>Datasheet!AY116/(Datasheet!AT116+Datasheet!AX116)</f>
        <v>0.71855788460114067</v>
      </c>
      <c r="AC116" s="119">
        <f>Datasheet!AU116/(Datasheet!AU116+Datasheet!AZ116)</f>
        <v>0.94737582747480198</v>
      </c>
      <c r="AD116" s="119">
        <f>Datasheet!AZ116/(Datasheet!AU116+Datasheet!AZ116)</f>
        <v>5.2624172525198035E-2</v>
      </c>
      <c r="AE116" s="117">
        <f>(Datasheet!BB116-Datasheet!BA116)/Datasheet!BA116</f>
        <v>0.11321505965901674</v>
      </c>
      <c r="AF116" s="118">
        <f>(Datasheet!AX116+Datasheet!AT116)/Datasheet!BB116</f>
        <v>0.63329600290825505</v>
      </c>
      <c r="AG116" s="111">
        <f>(Datasheet!AP116*1000)/Datasheet!E116</f>
        <v>793.06003590769092</v>
      </c>
      <c r="AH116" s="119">
        <f>Datasheet!BW116/SUM(Datasheet!$BW116:$BZ116)</f>
        <v>0.73873873873873874</v>
      </c>
      <c r="AI116" s="119">
        <f>Datasheet!BX116/SUM(Datasheet!$BW116:$BZ116)</f>
        <v>8.1081081081081086E-2</v>
      </c>
      <c r="AJ116" s="119">
        <f>Datasheet!BY116/SUM(Datasheet!$BW116:$BZ116)</f>
        <v>4.5045045045045043E-2</v>
      </c>
      <c r="AK116" s="119">
        <f>Datasheet!BZ116/SUM(Datasheet!$BW116:$BZ116)</f>
        <v>0.13513513513513514</v>
      </c>
      <c r="AL116" s="31">
        <f>Datasheet!BR116+Datasheet!BS116</f>
        <v>20</v>
      </c>
      <c r="AM116" s="31">
        <f>100-Datasheet!BV116</f>
        <v>19</v>
      </c>
      <c r="AN116" s="121">
        <f>(Datasheet!CL116-Datasheet!CK116)/Datasheet!CK116</f>
        <v>-6.4516129032258063E-2</v>
      </c>
    </row>
    <row r="117" spans="1:40">
      <c r="A117" s="42" t="s">
        <v>419</v>
      </c>
      <c r="B117" s="42" t="s">
        <v>420</v>
      </c>
      <c r="C117" s="42" t="s">
        <v>421</v>
      </c>
      <c r="D117" s="116">
        <f>Datasheet!G117/Datasheet!E117</f>
        <v>0.86285919775082542</v>
      </c>
      <c r="E117" s="116">
        <f>Datasheet!I117/Datasheet!E117</f>
        <v>0.13714080224917455</v>
      </c>
      <c r="F117" s="116">
        <f>(Datasheet!E117-Datasheet!D117)/Datasheet!D117</f>
        <v>0.11977889226489</v>
      </c>
      <c r="G117" s="116">
        <f>(Datasheet!G117-Datasheet!F117)/Datasheet!F117</f>
        <v>0.10533424069517877</v>
      </c>
      <c r="H117" s="116">
        <f>(Datasheet!I117-Datasheet!H117)/Datasheet!H117</f>
        <v>0.22009743328728276</v>
      </c>
      <c r="I117" s="116">
        <f>(Datasheet!K117-Datasheet!J117)/Datasheet!J117</f>
        <v>0.13732193732193732</v>
      </c>
      <c r="J117" s="116">
        <f>Datasheet!F117/Datasheet!D117</f>
        <v>0.87413515393344798</v>
      </c>
      <c r="K117" s="116">
        <f>Datasheet!H117/Datasheet!D117</f>
        <v>0.12586484606655196</v>
      </c>
      <c r="L117" s="116">
        <f>Datasheet!R117/Datasheet!Q117</f>
        <v>0.92753623188405798</v>
      </c>
      <c r="M117" s="117">
        <f>(Datasheet!AB117-Datasheet!AA117)/Datasheet!AA117</f>
        <v>1.0638297872340425E-2</v>
      </c>
      <c r="N117" s="118">
        <f>Datasheet!AC117/Datasheet!E117</f>
        <v>1.6631795743567948E-2</v>
      </c>
      <c r="O117" s="111">
        <f>SUM(Datasheet!AD117:AG117)</f>
        <v>765</v>
      </c>
      <c r="P117" s="111">
        <f>SUM(Datasheet!AH117:AK117)</f>
        <v>895</v>
      </c>
      <c r="Q117" s="111">
        <f t="shared" si="1"/>
        <v>1660</v>
      </c>
      <c r="R117" s="118">
        <f>Q117/Datasheet!AC117</f>
        <v>0.8157248157248157</v>
      </c>
      <c r="S117" s="118">
        <f>Datasheet!AL117/Datasheet!G117</f>
        <v>8.0037129650678187E-3</v>
      </c>
      <c r="T117" s="118">
        <f>Datasheet!AM117/Datasheet!I117</f>
        <v>7.0917759237187128E-2</v>
      </c>
      <c r="U117" s="119">
        <f>O117/Datasheet!AL117</f>
        <v>0.90532544378698221</v>
      </c>
      <c r="V117" s="119">
        <f>P117/Datasheet!AM117</f>
        <v>0.75210084033613445</v>
      </c>
      <c r="W117" s="120">
        <f>((Datasheet!AP117-Datasheet!AO117)/Datasheet!AO117)*100</f>
        <v>5.1354618083193309</v>
      </c>
      <c r="X117" s="119">
        <f>Datasheet!AQ117/Datasheet!AR117</f>
        <v>0.40408501930839152</v>
      </c>
      <c r="Y117" s="111">
        <f>Datasheet!AV117+Datasheet!AS117</f>
        <v>30544</v>
      </c>
      <c r="Z117" s="117">
        <f>Datasheet!AW117/(Datasheet!AS117+Datasheet!AV117)</f>
        <v>0.438023834468308</v>
      </c>
      <c r="AA117" s="111">
        <f>Datasheet!AX117+Datasheet!AT117</f>
        <v>31972</v>
      </c>
      <c r="AB117" s="119">
        <f>Datasheet!AY117/(Datasheet!AT117+Datasheet!AX117)</f>
        <v>0.5010947078693857</v>
      </c>
      <c r="AC117" s="119">
        <f>Datasheet!AU117/(Datasheet!AU117+Datasheet!AZ117)</f>
        <v>0.9684387399789457</v>
      </c>
      <c r="AD117" s="119">
        <f>Datasheet!AZ117/(Datasheet!AU117+Datasheet!AZ117)</f>
        <v>3.156126002105434E-2</v>
      </c>
      <c r="AE117" s="117">
        <f>(Datasheet!BB117-Datasheet!BA117)/Datasheet!BA117</f>
        <v>-0.13554190511191613</v>
      </c>
      <c r="AF117" s="118">
        <f>(Datasheet!AX117+Datasheet!AT117)/Datasheet!BB117</f>
        <v>0.64725888735930037</v>
      </c>
      <c r="AG117" s="111">
        <f>(Datasheet!AP117*1000)/Datasheet!E117</f>
        <v>582.93831115760565</v>
      </c>
      <c r="AH117" s="119">
        <f>Datasheet!BW117/SUM(Datasheet!$BW117:$BZ117)</f>
        <v>0.74766355140186913</v>
      </c>
      <c r="AI117" s="119">
        <f>Datasheet!BX117/SUM(Datasheet!$BW117:$BZ117)</f>
        <v>0.10280373831775701</v>
      </c>
      <c r="AJ117" s="119">
        <f>Datasheet!BY117/SUM(Datasheet!$BW117:$BZ117)</f>
        <v>5.6074766355140186E-2</v>
      </c>
      <c r="AK117" s="119">
        <f>Datasheet!BZ117/SUM(Datasheet!$BW117:$BZ117)</f>
        <v>9.3457943925233641E-2</v>
      </c>
      <c r="AL117" s="31">
        <f>Datasheet!BR117+Datasheet!BS117</f>
        <v>61</v>
      </c>
      <c r="AM117" s="31">
        <f>100-Datasheet!BV117</f>
        <v>74</v>
      </c>
      <c r="AN117" s="121">
        <f>(Datasheet!CL117-Datasheet!CK117)/Datasheet!CK117</f>
        <v>-3.6363636363636362E-2</v>
      </c>
    </row>
    <row r="118" spans="1:40">
      <c r="A118" s="42" t="s">
        <v>422</v>
      </c>
      <c r="B118" s="42" t="s">
        <v>423</v>
      </c>
      <c r="C118" s="42" t="s">
        <v>424</v>
      </c>
      <c r="D118" s="116">
        <f>Datasheet!G118/Datasheet!E118</f>
        <v>0.72388262897198974</v>
      </c>
      <c r="E118" s="116">
        <f>Datasheet!I118/Datasheet!E118</f>
        <v>0.27611737102801032</v>
      </c>
      <c r="F118" s="116">
        <f>(Datasheet!E118-Datasheet!D118)/Datasheet!D118</f>
        <v>3.9173308931538517E-2</v>
      </c>
      <c r="G118" s="116">
        <f>(Datasheet!G118-Datasheet!F118)/Datasheet!F118</f>
        <v>2.2244220102426493E-2</v>
      </c>
      <c r="H118" s="116">
        <f>(Datasheet!I118-Datasheet!H118)/Datasheet!H118</f>
        <v>8.6338150157268548E-2</v>
      </c>
      <c r="I118" s="116">
        <f>(Datasheet!K118-Datasheet!J118)/Datasheet!J118</f>
        <v>0.13067122436295836</v>
      </c>
      <c r="J118" s="116">
        <f>Datasheet!F118/Datasheet!D118</f>
        <v>0.73587063837984923</v>
      </c>
      <c r="K118" s="116">
        <f>Datasheet!H118/Datasheet!D118</f>
        <v>0.26412936162015077</v>
      </c>
      <c r="L118" s="116">
        <f>Datasheet!R118/Datasheet!Q118</f>
        <v>0.89682539682539686</v>
      </c>
      <c r="M118" s="117">
        <f>(Datasheet!AB118-Datasheet!AA118)/Datasheet!AA118</f>
        <v>0.10601193207893529</v>
      </c>
      <c r="N118" s="118">
        <f>Datasheet!AC118/Datasheet!E118</f>
        <v>1.9233554441966224E-2</v>
      </c>
      <c r="O118" s="111">
        <f>SUM(Datasheet!AD118:AG118)</f>
        <v>965</v>
      </c>
      <c r="P118" s="111">
        <f>SUM(Datasheet!AH118:AK118)</f>
        <v>1325</v>
      </c>
      <c r="Q118" s="111">
        <f t="shared" si="1"/>
        <v>2290</v>
      </c>
      <c r="R118" s="118">
        <f>Q118/Datasheet!AC118</f>
        <v>0.68975903614457834</v>
      </c>
      <c r="S118" s="118">
        <f>Datasheet!AL118/Datasheet!G118</f>
        <v>9.0834153641769309E-3</v>
      </c>
      <c r="T118" s="118">
        <f>Datasheet!AM118/Datasheet!I118</f>
        <v>4.5843649028576225E-2</v>
      </c>
      <c r="U118" s="119">
        <f>O118/Datasheet!AL118</f>
        <v>0.85022026431718056</v>
      </c>
      <c r="V118" s="119">
        <f>P118/Datasheet!AM118</f>
        <v>0.60640732265446229</v>
      </c>
      <c r="W118" s="120">
        <f>((Datasheet!AP118-Datasheet!AO118)/Datasheet!AO118)*100</f>
        <v>6.3099963759871214</v>
      </c>
      <c r="X118" s="119">
        <f>Datasheet!AQ118/Datasheet!AR118</f>
        <v>0.54697010199045892</v>
      </c>
      <c r="Y118" s="111">
        <f>Datasheet!AV118+Datasheet!AS118</f>
        <v>48520</v>
      </c>
      <c r="Z118" s="117">
        <f>Datasheet!AW118/(Datasheet!AS118+Datasheet!AV118)</f>
        <v>0.566714756801319</v>
      </c>
      <c r="AA118" s="111">
        <f>Datasheet!AX118+Datasheet!AT118</f>
        <v>59789</v>
      </c>
      <c r="AB118" s="119">
        <f>Datasheet!AY118/(Datasheet!AT118+Datasheet!AX118)</f>
        <v>0.59888942782117116</v>
      </c>
      <c r="AC118" s="119">
        <f>Datasheet!AU118/(Datasheet!AU118+Datasheet!AZ118)</f>
        <v>0.95680873604433214</v>
      </c>
      <c r="AD118" s="119">
        <f>Datasheet!AZ118/(Datasheet!AU118+Datasheet!AZ118)</f>
        <v>4.3191263955667837E-2</v>
      </c>
      <c r="AE118" s="117">
        <f>(Datasheet!BB118-Datasheet!BA118)/Datasheet!BA118</f>
        <v>8.8916496583547791E-2</v>
      </c>
      <c r="AF118" s="118">
        <f>(Datasheet!AX118+Datasheet!AT118)/Datasheet!BB118</f>
        <v>0.60904775486920382</v>
      </c>
      <c r="AG118" s="111">
        <f>(Datasheet!AP118*1000)/Datasheet!E118</f>
        <v>730.75920400892164</v>
      </c>
      <c r="AH118" s="119">
        <f>Datasheet!BW118/SUM(Datasheet!$BW118:$BZ118)</f>
        <v>0.7350427350427351</v>
      </c>
      <c r="AI118" s="119">
        <f>Datasheet!BX118/SUM(Datasheet!$BW118:$BZ118)</f>
        <v>8.5470085470085472E-2</v>
      </c>
      <c r="AJ118" s="119">
        <f>Datasheet!BY118/SUM(Datasheet!$BW118:$BZ118)</f>
        <v>4.2735042735042736E-2</v>
      </c>
      <c r="AK118" s="119">
        <f>Datasheet!BZ118/SUM(Datasheet!$BW118:$BZ118)</f>
        <v>0.13675213675213677</v>
      </c>
      <c r="AL118" s="31">
        <f>Datasheet!BR118+Datasheet!BS118</f>
        <v>31</v>
      </c>
      <c r="AM118" s="31">
        <f>100-Datasheet!BV118</f>
        <v>45</v>
      </c>
      <c r="AN118" s="121">
        <f>(Datasheet!CL118-Datasheet!CK118)/Datasheet!CK118</f>
        <v>-1.9417475728155338E-2</v>
      </c>
    </row>
    <row r="119" spans="1:40">
      <c r="A119" s="42" t="s">
        <v>425</v>
      </c>
      <c r="B119" s="42" t="s">
        <v>426</v>
      </c>
      <c r="C119" s="42" t="s">
        <v>427</v>
      </c>
      <c r="D119" s="116">
        <f>Datasheet!G119/Datasheet!E119</f>
        <v>0.68131098615736674</v>
      </c>
      <c r="E119" s="116">
        <f>Datasheet!I119/Datasheet!E119</f>
        <v>0.31868901384263332</v>
      </c>
      <c r="F119" s="116">
        <f>(Datasheet!E119-Datasheet!D119)/Datasheet!D119</f>
        <v>9.1606075221359731E-2</v>
      </c>
      <c r="G119" s="116">
        <f>(Datasheet!G119-Datasheet!F119)/Datasheet!F119</f>
        <v>4.8198643050443128E-2</v>
      </c>
      <c r="H119" s="116">
        <f>(Datasheet!I119-Datasheet!H119)/Datasheet!H119</f>
        <v>0.19763471177944864</v>
      </c>
      <c r="I119" s="116">
        <f>(Datasheet!K119-Datasheet!J119)/Datasheet!J119</f>
        <v>0.14215073629299571</v>
      </c>
      <c r="J119" s="116">
        <f>Datasheet!F119/Datasheet!D119</f>
        <v>0.70952506620316869</v>
      </c>
      <c r="K119" s="116">
        <f>Datasheet!H119/Datasheet!D119</f>
        <v>0.29047493379683137</v>
      </c>
      <c r="L119" s="116">
        <f>Datasheet!R119/Datasheet!Q119</f>
        <v>0.89491525423728813</v>
      </c>
      <c r="M119" s="117">
        <f>(Datasheet!AB119-Datasheet!AA119)/Datasheet!AA119</f>
        <v>4.1333115504002614E-2</v>
      </c>
      <c r="N119" s="118">
        <f>Datasheet!AC119/Datasheet!E119</f>
        <v>1.8986207385238693E-2</v>
      </c>
      <c r="O119" s="111">
        <f>SUM(Datasheet!AD119:AG119)</f>
        <v>2735</v>
      </c>
      <c r="P119" s="111">
        <f>SUM(Datasheet!AH119:AK119)</f>
        <v>3275</v>
      </c>
      <c r="Q119" s="111">
        <f t="shared" si="1"/>
        <v>6010</v>
      </c>
      <c r="R119" s="118">
        <f>Q119/Datasheet!AC119</f>
        <v>0.6597145993413831</v>
      </c>
      <c r="S119" s="118">
        <f>Datasheet!AL119/Datasheet!G119</f>
        <v>9.6357384952341328E-3</v>
      </c>
      <c r="T119" s="118">
        <f>Datasheet!AM119/Datasheet!I119</f>
        <v>3.8976156532429994E-2</v>
      </c>
      <c r="U119" s="119">
        <f>O119/Datasheet!AL119</f>
        <v>0.86825396825396828</v>
      </c>
      <c r="V119" s="119">
        <f>P119/Datasheet!AM119</f>
        <v>0.54949664429530198</v>
      </c>
      <c r="W119" s="120">
        <f>((Datasheet!AP119-Datasheet!AO119)/Datasheet!AO119)*100</f>
        <v>-0.64181668032568107</v>
      </c>
      <c r="X119" s="119">
        <f>Datasheet!AQ119/Datasheet!AR119</f>
        <v>0.52541000425026751</v>
      </c>
      <c r="Y119" s="111">
        <f>Datasheet!AV119+Datasheet!AS119</f>
        <v>124855</v>
      </c>
      <c r="Z119" s="117">
        <f>Datasheet!AW119/(Datasheet!AS119+Datasheet!AV119)</f>
        <v>0.67190741259861442</v>
      </c>
      <c r="AA119" s="111">
        <f>Datasheet!AX119+Datasheet!AT119</f>
        <v>164751</v>
      </c>
      <c r="AB119" s="119">
        <f>Datasheet!AY119/(Datasheet!AT119+Datasheet!AX119)</f>
        <v>0.70800784213752876</v>
      </c>
      <c r="AC119" s="119">
        <f>Datasheet!AU119/(Datasheet!AU119+Datasheet!AZ119)</f>
        <v>0.92365918693277327</v>
      </c>
      <c r="AD119" s="119">
        <f>Datasheet!AZ119/(Datasheet!AU119+Datasheet!AZ119)</f>
        <v>7.6340813067226745E-2</v>
      </c>
      <c r="AE119" s="117">
        <f>(Datasheet!BB119-Datasheet!BA119)/Datasheet!BA119</f>
        <v>5.7515484796073733E-2</v>
      </c>
      <c r="AF119" s="118">
        <f>(Datasheet!AX119+Datasheet!AT119)/Datasheet!BB119</f>
        <v>0.57574846846594985</v>
      </c>
      <c r="AG119" s="111">
        <f>(Datasheet!AP119*1000)/Datasheet!E119</f>
        <v>659.46746918649001</v>
      </c>
      <c r="AH119" s="119">
        <f>Datasheet!BW119/SUM(Datasheet!$BW119:$BZ119)</f>
        <v>0.72555205047318616</v>
      </c>
      <c r="AI119" s="119">
        <f>Datasheet!BX119/SUM(Datasheet!$BW119:$BZ119)</f>
        <v>7.5709779179810727E-2</v>
      </c>
      <c r="AJ119" s="119">
        <f>Datasheet!BY119/SUM(Datasheet!$BW119:$BZ119)</f>
        <v>4.7318611987381701E-2</v>
      </c>
      <c r="AK119" s="119">
        <f>Datasheet!BZ119/SUM(Datasheet!$BW119:$BZ119)</f>
        <v>0.15141955835962145</v>
      </c>
      <c r="AL119" s="31">
        <f>Datasheet!BR119+Datasheet!BS119</f>
        <v>26</v>
      </c>
      <c r="AM119" s="31">
        <f>100-Datasheet!BV119</f>
        <v>28</v>
      </c>
      <c r="AN119" s="121">
        <f>(Datasheet!CL119-Datasheet!CK119)/Datasheet!CK119</f>
        <v>-1.0843373493975903E-2</v>
      </c>
    </row>
    <row r="120" spans="1:40">
      <c r="A120" s="42" t="s">
        <v>428</v>
      </c>
      <c r="B120" s="42" t="s">
        <v>429</v>
      </c>
      <c r="C120" s="42" t="s">
        <v>430</v>
      </c>
      <c r="D120" s="116">
        <f>Datasheet!G120/Datasheet!E120</f>
        <v>0.76315778804010692</v>
      </c>
      <c r="E120" s="116">
        <f>Datasheet!I120/Datasheet!E120</f>
        <v>0.23684221195989313</v>
      </c>
      <c r="F120" s="116">
        <f>(Datasheet!E120-Datasheet!D120)/Datasheet!D120</f>
        <v>0.14600012080717781</v>
      </c>
      <c r="G120" s="116">
        <f>(Datasheet!G120-Datasheet!F120)/Datasheet!F120</f>
        <v>0.1408051201861886</v>
      </c>
      <c r="H120" s="116">
        <f>(Datasheet!I120-Datasheet!H120)/Datasheet!H120</f>
        <v>0.16306620209059233</v>
      </c>
      <c r="I120" s="116">
        <f>(Datasheet!K120-Datasheet!J120)/Datasheet!J120</f>
        <v>0.36297468354430379</v>
      </c>
      <c r="J120" s="116">
        <f>Datasheet!F120/Datasheet!D120</f>
        <v>0.76663305749027733</v>
      </c>
      <c r="K120" s="116">
        <f>Datasheet!H120/Datasheet!D120</f>
        <v>0.23336694250972265</v>
      </c>
      <c r="L120" s="116">
        <f>Datasheet!R120/Datasheet!Q120</f>
        <v>0.9050279329608939</v>
      </c>
      <c r="M120" s="117">
        <f>(Datasheet!AB120-Datasheet!AA120)/Datasheet!AA120</f>
        <v>1.4601420678768745E-2</v>
      </c>
      <c r="N120" s="118">
        <f>Datasheet!AC120/Datasheet!E120</f>
        <v>1.7495063675544618E-2</v>
      </c>
      <c r="O120" s="111">
        <f>SUM(Datasheet!AD120:AG120)</f>
        <v>1545</v>
      </c>
      <c r="P120" s="111">
        <f>SUM(Datasheet!AH120:AK120)</f>
        <v>1415</v>
      </c>
      <c r="Q120" s="111">
        <f t="shared" si="1"/>
        <v>2960</v>
      </c>
      <c r="R120" s="118">
        <f>Q120/Datasheet!AC120</f>
        <v>0.68597914252607184</v>
      </c>
      <c r="S120" s="118">
        <f>Datasheet!AL120/Datasheet!G120</f>
        <v>9.536408360162783E-3</v>
      </c>
      <c r="T120" s="118">
        <f>Datasheet!AM120/Datasheet!I120</f>
        <v>4.3139604553624922E-2</v>
      </c>
      <c r="U120" s="119">
        <f>O120/Datasheet!AL120</f>
        <v>0.8607242339832869</v>
      </c>
      <c r="V120" s="119">
        <f>P120/Datasheet!AM120</f>
        <v>0.56150793650793651</v>
      </c>
      <c r="W120" s="120">
        <f>((Datasheet!AP120-Datasheet!AO120)/Datasheet!AO120)*100</f>
        <v>9.1671768360428985</v>
      </c>
      <c r="X120" s="119">
        <f>Datasheet!AQ120/Datasheet!AR120</f>
        <v>0.58646893305254222</v>
      </c>
      <c r="Y120" s="111">
        <f>Datasheet!AV120+Datasheet!AS120</f>
        <v>83704</v>
      </c>
      <c r="Z120" s="117">
        <f>Datasheet!AW120/(Datasheet!AS120+Datasheet!AV120)</f>
        <v>0.59798814871451778</v>
      </c>
      <c r="AA120" s="111">
        <f>Datasheet!AX120+Datasheet!AT120</f>
        <v>77710</v>
      </c>
      <c r="AB120" s="119">
        <f>Datasheet!AY120/(Datasheet!AT120+Datasheet!AX120)</f>
        <v>0.54995496075151207</v>
      </c>
      <c r="AC120" s="119">
        <f>Datasheet!AU120/(Datasheet!AU120+Datasheet!AZ120)</f>
        <v>0.95490797129952387</v>
      </c>
      <c r="AD120" s="119">
        <f>Datasheet!AZ120/(Datasheet!AU120+Datasheet!AZ120)</f>
        <v>4.5092028700476079E-2</v>
      </c>
      <c r="AE120" s="117">
        <f>(Datasheet!BB120-Datasheet!BA120)/Datasheet!BA120</f>
        <v>8.9596464911438051E-2</v>
      </c>
      <c r="AF120" s="118">
        <f>(Datasheet!AX120+Datasheet!AT120)/Datasheet!BB120</f>
        <v>0.52701181385381202</v>
      </c>
      <c r="AG120" s="111">
        <f>(Datasheet!AP120*1000)/Datasheet!E120</f>
        <v>780.82719418101613</v>
      </c>
      <c r="AH120" s="119">
        <f>Datasheet!BW120/SUM(Datasheet!$BW120:$BZ120)</f>
        <v>0.72189349112426038</v>
      </c>
      <c r="AI120" s="119">
        <f>Datasheet!BX120/SUM(Datasheet!$BW120:$BZ120)</f>
        <v>8.8757396449704137E-2</v>
      </c>
      <c r="AJ120" s="119">
        <f>Datasheet!BY120/SUM(Datasheet!$BW120:$BZ120)</f>
        <v>4.7337278106508875E-2</v>
      </c>
      <c r="AK120" s="119">
        <f>Datasheet!BZ120/SUM(Datasheet!$BW120:$BZ120)</f>
        <v>0.14201183431952663</v>
      </c>
      <c r="AL120" s="31">
        <f>Datasheet!BR120+Datasheet!BS120</f>
        <v>36</v>
      </c>
      <c r="AM120" s="31">
        <f>100-Datasheet!BV120</f>
        <v>36</v>
      </c>
      <c r="AN120" s="121">
        <f>(Datasheet!CL120-Datasheet!CK120)/Datasheet!CK120</f>
        <v>2.3255813953488372E-2</v>
      </c>
    </row>
    <row r="121" spans="1:40">
      <c r="A121" s="42" t="s">
        <v>431</v>
      </c>
      <c r="B121" s="42" t="s">
        <v>432</v>
      </c>
      <c r="C121" s="42" t="s">
        <v>433</v>
      </c>
      <c r="D121" s="116">
        <f>Datasheet!G121/Datasheet!E121</f>
        <v>0.7255468904897231</v>
      </c>
      <c r="E121" s="116">
        <f>Datasheet!I121/Datasheet!E121</f>
        <v>0.2744531095102769</v>
      </c>
      <c r="F121" s="116">
        <f>(Datasheet!E121-Datasheet!D121)/Datasheet!D121</f>
        <v>2.2684453756663822E-2</v>
      </c>
      <c r="G121" s="116">
        <f>(Datasheet!G121-Datasheet!F121)/Datasheet!F121</f>
        <v>-1.6396012991376413E-2</v>
      </c>
      <c r="H121" s="116">
        <f>(Datasheet!I121-Datasheet!H121)/Datasheet!H121</f>
        <v>0.14270973067794862</v>
      </c>
      <c r="I121" s="116">
        <f>(Datasheet!K121-Datasheet!J121)/Datasheet!J121</f>
        <v>6.3098008792345492E-2</v>
      </c>
      <c r="J121" s="116">
        <f>Datasheet!F121/Datasheet!D121</f>
        <v>0.75437425546834735</v>
      </c>
      <c r="K121" s="116">
        <f>Datasheet!H121/Datasheet!D121</f>
        <v>0.24562574453165262</v>
      </c>
      <c r="L121" s="116">
        <f>Datasheet!R121/Datasheet!Q121</f>
        <v>0.84375</v>
      </c>
      <c r="M121" s="117">
        <f>(Datasheet!AB121-Datasheet!AA121)/Datasheet!AA121</f>
        <v>-1.2527634487840826E-2</v>
      </c>
      <c r="N121" s="118">
        <f>Datasheet!AC121/Datasheet!E121</f>
        <v>2.6518405921617871E-2</v>
      </c>
      <c r="O121" s="111">
        <f>SUM(Datasheet!AD121:AG121)</f>
        <v>680</v>
      </c>
      <c r="P121" s="111">
        <f>SUM(Datasheet!AH121:AK121)</f>
        <v>1380</v>
      </c>
      <c r="Q121" s="111">
        <f t="shared" si="1"/>
        <v>2060</v>
      </c>
      <c r="R121" s="118">
        <f>Q121/Datasheet!AC121</f>
        <v>0.64174454828660432</v>
      </c>
      <c r="S121" s="118">
        <f>Datasheet!AL121/Datasheet!G121</f>
        <v>9.4505044064400068E-3</v>
      </c>
      <c r="T121" s="118">
        <f>Datasheet!AM121/Datasheet!I121</f>
        <v>7.1639275179098183E-2</v>
      </c>
      <c r="U121" s="119">
        <f>O121/Datasheet!AL121</f>
        <v>0.81927710843373491</v>
      </c>
      <c r="V121" s="119">
        <f>P121/Datasheet!AM121</f>
        <v>0.57983193277310929</v>
      </c>
      <c r="W121" s="120">
        <f>((Datasheet!AP121-Datasheet!AO121)/Datasheet!AO121)*100</f>
        <v>12.443542450108438</v>
      </c>
      <c r="X121" s="119">
        <f>Datasheet!AQ121/Datasheet!AR121</f>
        <v>0.64987022720648446</v>
      </c>
      <c r="Y121" s="111">
        <f>Datasheet!AV121+Datasheet!AS121</f>
        <v>39100</v>
      </c>
      <c r="Z121" s="117">
        <f>Datasheet!AW121/(Datasheet!AS121+Datasheet!AV121)</f>
        <v>0.66580562659846543</v>
      </c>
      <c r="AA121" s="111">
        <f>Datasheet!AX121+Datasheet!AT121</f>
        <v>54746</v>
      </c>
      <c r="AB121" s="119">
        <f>Datasheet!AY121/(Datasheet!AT121+Datasheet!AX121)</f>
        <v>0.59158659993424179</v>
      </c>
      <c r="AC121" s="119">
        <f>Datasheet!AU121/(Datasheet!AU121+Datasheet!AZ121)</f>
        <v>0.94077752210245857</v>
      </c>
      <c r="AD121" s="119">
        <f>Datasheet!AZ121/(Datasheet!AU121+Datasheet!AZ121)</f>
        <v>5.9222477897541481E-2</v>
      </c>
      <c r="AE121" s="117">
        <f>(Datasheet!BB121-Datasheet!BA121)/Datasheet!BA121</f>
        <v>4.8747650256566577E-2</v>
      </c>
      <c r="AF121" s="118">
        <f>(Datasheet!AX121+Datasheet!AT121)/Datasheet!BB121</f>
        <v>0.66302531185660651</v>
      </c>
      <c r="AG121" s="111">
        <f>(Datasheet!AP121*1000)/Datasheet!E121</f>
        <v>933.72876875289137</v>
      </c>
      <c r="AH121" s="119">
        <f>Datasheet!BW121/SUM(Datasheet!$BW121:$BZ121)</f>
        <v>0.66086956521739126</v>
      </c>
      <c r="AI121" s="119">
        <f>Datasheet!BX121/SUM(Datasheet!$BW121:$BZ121)</f>
        <v>9.5652173913043481E-2</v>
      </c>
      <c r="AJ121" s="119">
        <f>Datasheet!BY121/SUM(Datasheet!$BW121:$BZ121)</f>
        <v>5.2173913043478258E-2</v>
      </c>
      <c r="AK121" s="119">
        <f>Datasheet!BZ121/SUM(Datasheet!$BW121:$BZ121)</f>
        <v>0.19130434782608696</v>
      </c>
      <c r="AL121" s="31">
        <f>Datasheet!BR121+Datasheet!BS121</f>
        <v>14</v>
      </c>
      <c r="AM121" s="31">
        <f>100-Datasheet!BV121</f>
        <v>15</v>
      </c>
      <c r="AN121" s="121">
        <f>(Datasheet!CL121-Datasheet!CK121)/Datasheet!CK121</f>
        <v>-9.0909090909090912E-2</v>
      </c>
    </row>
    <row r="122" spans="1:40">
      <c r="A122" s="42" t="s">
        <v>434</v>
      </c>
      <c r="B122" s="42" t="s">
        <v>435</v>
      </c>
      <c r="C122" s="42" t="s">
        <v>436</v>
      </c>
      <c r="D122" s="116">
        <f>Datasheet!G122/Datasheet!E122</f>
        <v>0.828082692837531</v>
      </c>
      <c r="E122" s="116">
        <f>Datasheet!I122/Datasheet!E122</f>
        <v>0.171917307162469</v>
      </c>
      <c r="F122" s="116">
        <f>(Datasheet!E122-Datasheet!D122)/Datasheet!D122</f>
        <v>7.1814428055740828E-2</v>
      </c>
      <c r="G122" s="116">
        <f>(Datasheet!G122-Datasheet!F122)/Datasheet!F122</f>
        <v>6.5296569256529657E-2</v>
      </c>
      <c r="H122" s="116">
        <f>(Datasheet!I122-Datasheet!H122)/Datasheet!H122</f>
        <v>0.10436056269262457</v>
      </c>
      <c r="I122" s="116">
        <f>(Datasheet!K122-Datasheet!J122)/Datasheet!J122</f>
        <v>-4.5188284518828455E-2</v>
      </c>
      <c r="J122" s="116">
        <f>Datasheet!F122/Datasheet!D122</f>
        <v>0.83314919377421603</v>
      </c>
      <c r="K122" s="116">
        <f>Datasheet!H122/Datasheet!D122</f>
        <v>0.16685080622578394</v>
      </c>
      <c r="L122" s="116">
        <f>Datasheet!R122/Datasheet!Q122</f>
        <v>0.86065573770491799</v>
      </c>
      <c r="M122" s="117">
        <f>(Datasheet!AB122-Datasheet!AA122)/Datasheet!AA122</f>
        <v>4.275862068965517E-2</v>
      </c>
      <c r="N122" s="118">
        <f>Datasheet!AC122/Datasheet!E122</f>
        <v>1.5628414262234342E-2</v>
      </c>
      <c r="O122" s="111">
        <f>SUM(Datasheet!AD122:AG122)</f>
        <v>1045</v>
      </c>
      <c r="P122" s="111">
        <f>SUM(Datasheet!AH122:AK122)</f>
        <v>1225</v>
      </c>
      <c r="Q122" s="111">
        <f t="shared" si="1"/>
        <v>2270</v>
      </c>
      <c r="R122" s="118">
        <f>Q122/Datasheet!AC122</f>
        <v>0.6899696048632219</v>
      </c>
      <c r="S122" s="118">
        <f>Datasheet!AL122/Datasheet!G122</f>
        <v>7.1132323330828405E-3</v>
      </c>
      <c r="T122" s="118">
        <f>Datasheet!AM122/Datasheet!I122</f>
        <v>5.6643916995938216E-2</v>
      </c>
      <c r="U122" s="119">
        <f>O122/Datasheet!AL122</f>
        <v>0.842741935483871</v>
      </c>
      <c r="V122" s="119">
        <f>P122/Datasheet!AM122</f>
        <v>0.59756097560975607</v>
      </c>
      <c r="W122" s="120">
        <f>((Datasheet!AP122-Datasheet!AO122)/Datasheet!AO122)*100</f>
        <v>2.8993029808690491</v>
      </c>
      <c r="X122" s="119">
        <f>Datasheet!AQ122/Datasheet!AR122</f>
        <v>0.59964877889406187</v>
      </c>
      <c r="Y122" s="111">
        <f>Datasheet!AV122+Datasheet!AS122</f>
        <v>47532</v>
      </c>
      <c r="Z122" s="117">
        <f>Datasheet!AW122/(Datasheet!AS122+Datasheet!AV122)</f>
        <v>0.58390137170748124</v>
      </c>
      <c r="AA122" s="111">
        <f>Datasheet!AX122+Datasheet!AT122</f>
        <v>47928</v>
      </c>
      <c r="AB122" s="119">
        <f>Datasheet!AY122/(Datasheet!AT122+Datasheet!AX122)</f>
        <v>0.55049240527457854</v>
      </c>
      <c r="AC122" s="119">
        <f>Datasheet!AU122/(Datasheet!AU122+Datasheet!AZ122)</f>
        <v>0.91159225180520476</v>
      </c>
      <c r="AD122" s="119">
        <f>Datasheet!AZ122/(Datasheet!AU122+Datasheet!AZ122)</f>
        <v>8.840774819479523E-2</v>
      </c>
      <c r="AE122" s="117">
        <f>(Datasheet!BB122-Datasheet!BA122)/Datasheet!BA122</f>
        <v>-8.0456471834716575E-3</v>
      </c>
      <c r="AF122" s="118">
        <f>(Datasheet!AX122+Datasheet!AT122)/Datasheet!BB122</f>
        <v>0.53325025868111575</v>
      </c>
      <c r="AG122" s="111">
        <f>(Datasheet!AP122*1000)/Datasheet!E122</f>
        <v>593.27645667271531</v>
      </c>
      <c r="AH122" s="119">
        <f>Datasheet!BW122/SUM(Datasheet!$BW122:$BZ122)</f>
        <v>0.759493670886076</v>
      </c>
      <c r="AI122" s="119">
        <f>Datasheet!BX122/SUM(Datasheet!$BW122:$BZ122)</f>
        <v>9.2827004219409287E-2</v>
      </c>
      <c r="AJ122" s="119">
        <f>Datasheet!BY122/SUM(Datasheet!$BW122:$BZ122)</f>
        <v>3.7974683544303799E-2</v>
      </c>
      <c r="AK122" s="119">
        <f>Datasheet!BZ122/SUM(Datasheet!$BW122:$BZ122)</f>
        <v>0.10970464135021098</v>
      </c>
      <c r="AL122" s="31">
        <f>Datasheet!BR122+Datasheet!BS122</f>
        <v>36</v>
      </c>
      <c r="AM122" s="31">
        <f>100-Datasheet!BV122</f>
        <v>35</v>
      </c>
      <c r="AN122" s="121">
        <f>(Datasheet!CL122-Datasheet!CK122)/Datasheet!CK122</f>
        <v>-9.6892138939670927E-2</v>
      </c>
    </row>
    <row r="123" spans="1:40">
      <c r="A123" s="42" t="s">
        <v>437</v>
      </c>
      <c r="B123" s="42" t="s">
        <v>438</v>
      </c>
      <c r="C123" s="42" t="s">
        <v>439</v>
      </c>
      <c r="D123" s="116">
        <f>Datasheet!G123/Datasheet!E123</f>
        <v>0.75035722831846308</v>
      </c>
      <c r="E123" s="116">
        <f>Datasheet!I123/Datasheet!E123</f>
        <v>0.24964277168153692</v>
      </c>
      <c r="F123" s="116">
        <f>(Datasheet!E123-Datasheet!D123)/Datasheet!D123</f>
        <v>3.6149955370425466E-2</v>
      </c>
      <c r="G123" s="116">
        <f>(Datasheet!G123-Datasheet!F123)/Datasheet!F123</f>
        <v>2.1975770781536629E-2</v>
      </c>
      <c r="H123" s="116">
        <f>(Datasheet!I123-Datasheet!H123)/Datasheet!H123</f>
        <v>8.1223534985638571E-2</v>
      </c>
      <c r="I123" s="116">
        <f>(Datasheet!K123-Datasheet!J123)/Datasheet!J123</f>
        <v>6.1809327589436225E-3</v>
      </c>
      <c r="J123" s="116">
        <f>Datasheet!F123/Datasheet!D123</f>
        <v>0.76076422833340418</v>
      </c>
      <c r="K123" s="116">
        <f>Datasheet!H123/Datasheet!D123</f>
        <v>0.23923577166659582</v>
      </c>
      <c r="L123" s="116">
        <f>Datasheet!R123/Datasheet!Q123</f>
        <v>0.83739837398373984</v>
      </c>
      <c r="M123" s="117">
        <f>(Datasheet!AB123-Datasheet!AA123)/Datasheet!AA123</f>
        <v>4.6927374301675977E-2</v>
      </c>
      <c r="N123" s="118">
        <f>Datasheet!AC123/Datasheet!E123</f>
        <v>2.2801080231087411E-2</v>
      </c>
      <c r="O123" s="111">
        <f>SUM(Datasheet!AD123:AG123)</f>
        <v>940</v>
      </c>
      <c r="P123" s="111">
        <f>SUM(Datasheet!AH123:AK123)</f>
        <v>1595</v>
      </c>
      <c r="Q123" s="111">
        <f t="shared" si="1"/>
        <v>2535</v>
      </c>
      <c r="R123" s="118">
        <f>Q123/Datasheet!AC123</f>
        <v>0.76011994002998495</v>
      </c>
      <c r="S123" s="118">
        <f>Datasheet!AL123/Datasheet!G123</f>
        <v>9.4759956629096777E-3</v>
      </c>
      <c r="T123" s="118">
        <f>Datasheet!AM123/Datasheet!I123</f>
        <v>6.2852604480473237E-2</v>
      </c>
      <c r="U123" s="119">
        <f>O123/Datasheet!AL123</f>
        <v>0.90384615384615385</v>
      </c>
      <c r="V123" s="119">
        <f>P123/Datasheet!AM123</f>
        <v>0.69498910675381265</v>
      </c>
      <c r="W123" s="120">
        <f>((Datasheet!AP123-Datasheet!AO123)/Datasheet!AO123)*100</f>
        <v>10.541513937430739</v>
      </c>
      <c r="X123" s="119">
        <f>Datasheet!AQ123/Datasheet!AR123</f>
        <v>0.42929869858905145</v>
      </c>
      <c r="Y123" s="111">
        <f>Datasheet!AV123+Datasheet!AS123</f>
        <v>37116</v>
      </c>
      <c r="Z123" s="117">
        <f>Datasheet!AW123/(Datasheet!AS123+Datasheet!AV123)</f>
        <v>0.57878004095268887</v>
      </c>
      <c r="AA123" s="111">
        <f>Datasheet!AX123+Datasheet!AT123</f>
        <v>46561</v>
      </c>
      <c r="AB123" s="119">
        <f>Datasheet!AY123/(Datasheet!AT123+Datasheet!AX123)</f>
        <v>0.78331650952513909</v>
      </c>
      <c r="AC123" s="119">
        <f>Datasheet!AU123/(Datasheet!AU123+Datasheet!AZ123)</f>
        <v>0.94043470164143761</v>
      </c>
      <c r="AD123" s="119">
        <f>Datasheet!AZ123/(Datasheet!AU123+Datasheet!AZ123)</f>
        <v>5.9565298358562342E-2</v>
      </c>
      <c r="AE123" s="117">
        <f>(Datasheet!BB123-Datasheet!BA123)/Datasheet!BA123</f>
        <v>0.12355218125569786</v>
      </c>
      <c r="AF123" s="118">
        <f>(Datasheet!AX123+Datasheet!AT123)/Datasheet!BB123</f>
        <v>0.61934342493814676</v>
      </c>
      <c r="AG123" s="111">
        <f>(Datasheet!AP123*1000)/Datasheet!E123</f>
        <v>709.26742556319005</v>
      </c>
      <c r="AH123" s="119">
        <f>Datasheet!BW123/SUM(Datasheet!$BW123:$BZ123)</f>
        <v>0.75471698113207553</v>
      </c>
      <c r="AI123" s="119">
        <f>Datasheet!BX123/SUM(Datasheet!$BW123:$BZ123)</f>
        <v>8.9622641509433956E-2</v>
      </c>
      <c r="AJ123" s="119">
        <f>Datasheet!BY123/SUM(Datasheet!$BW123:$BZ123)</f>
        <v>3.3018867924528301E-2</v>
      </c>
      <c r="AK123" s="119">
        <f>Datasheet!BZ123/SUM(Datasheet!$BW123:$BZ123)</f>
        <v>0.12264150943396226</v>
      </c>
      <c r="AL123" s="31">
        <f>Datasheet!BR123+Datasheet!BS123</f>
        <v>37</v>
      </c>
      <c r="AM123" s="31">
        <f>100-Datasheet!BV123</f>
        <v>44</v>
      </c>
      <c r="AN123" s="121">
        <f>(Datasheet!CL123-Datasheet!CK123)/Datasheet!CK123</f>
        <v>0.85401459854014594</v>
      </c>
    </row>
    <row r="124" spans="1:40">
      <c r="A124" s="42" t="s">
        <v>440</v>
      </c>
      <c r="B124" s="42" t="s">
        <v>441</v>
      </c>
      <c r="C124" s="42" t="s">
        <v>442</v>
      </c>
      <c r="D124" s="116">
        <f>Datasheet!G124/Datasheet!E124</f>
        <v>0.88472840845276279</v>
      </c>
      <c r="E124" s="116">
        <f>Datasheet!I124/Datasheet!E124</f>
        <v>0.11527159154723716</v>
      </c>
      <c r="F124" s="116">
        <f>(Datasheet!E124-Datasheet!D124)/Datasheet!D124</f>
        <v>6.7318587122518356E-2</v>
      </c>
      <c r="G124" s="116">
        <f>(Datasheet!G124-Datasheet!F124)/Datasheet!F124</f>
        <v>4.5546075628304025E-2</v>
      </c>
      <c r="H124" s="116">
        <f>(Datasheet!I124-Datasheet!H124)/Datasheet!H124</f>
        <v>0.27035733966343095</v>
      </c>
      <c r="I124" s="116">
        <f>(Datasheet!K124-Datasheet!J124)/Datasheet!J124</f>
        <v>5.0130208333333336E-2</v>
      </c>
      <c r="J124" s="116">
        <f>Datasheet!F124/Datasheet!D124</f>
        <v>0.90315204361462798</v>
      </c>
      <c r="K124" s="116">
        <f>Datasheet!H124/Datasheet!D124</f>
        <v>9.6847956385372025E-2</v>
      </c>
      <c r="L124" s="116">
        <f>Datasheet!R124/Datasheet!Q124</f>
        <v>0.88721804511278191</v>
      </c>
      <c r="M124" s="117">
        <f>(Datasheet!AB124-Datasheet!AA124)/Datasheet!AA124</f>
        <v>-5.1001821493624776E-2</v>
      </c>
      <c r="N124" s="118">
        <f>Datasheet!AC124/Datasheet!E124</f>
        <v>1.9231804789488664E-2</v>
      </c>
      <c r="O124" s="111">
        <f>SUM(Datasheet!AD124:AG124)</f>
        <v>2005</v>
      </c>
      <c r="P124" s="111">
        <f>SUM(Datasheet!AH124:AK124)</f>
        <v>2060</v>
      </c>
      <c r="Q124" s="111">
        <f t="shared" si="1"/>
        <v>4065</v>
      </c>
      <c r="R124" s="118">
        <f>Q124/Datasheet!AC124</f>
        <v>0.81299999999999994</v>
      </c>
      <c r="S124" s="118">
        <f>Datasheet!AL124/Datasheet!G124</f>
        <v>9.7601481629618677E-3</v>
      </c>
      <c r="T124" s="118">
        <f>Datasheet!AM124/Datasheet!I124</f>
        <v>9.1928325936801364E-2</v>
      </c>
      <c r="U124" s="119">
        <f>O124/Datasheet!AL124</f>
        <v>0.89309576837416482</v>
      </c>
      <c r="V124" s="119">
        <f>P124/Datasheet!AM124</f>
        <v>0.74773139745916517</v>
      </c>
      <c r="W124" s="120">
        <f>((Datasheet!AP124-Datasheet!AO124)/Datasheet!AO124)*100</f>
        <v>9.1583470977738148</v>
      </c>
      <c r="X124" s="119">
        <f>Datasheet!AQ124/Datasheet!AR124</f>
        <v>0.40157426964670256</v>
      </c>
      <c r="Y124" s="111">
        <f>Datasheet!AV124+Datasheet!AS124</f>
        <v>60917</v>
      </c>
      <c r="Z124" s="117">
        <f>Datasheet!AW124/(Datasheet!AS124+Datasheet!AV124)</f>
        <v>0.55419669386214032</v>
      </c>
      <c r="AA124" s="111">
        <f>Datasheet!AX124+Datasheet!AT124</f>
        <v>54505</v>
      </c>
      <c r="AB124" s="119">
        <f>Datasheet!AY124/(Datasheet!AT124+Datasheet!AX124)</f>
        <v>0.70081643885882028</v>
      </c>
      <c r="AC124" s="119">
        <f>Datasheet!AU124/(Datasheet!AU124+Datasheet!AZ124)</f>
        <v>0.97889848770906041</v>
      </c>
      <c r="AD124" s="119">
        <f>Datasheet!AZ124/(Datasheet!AU124+Datasheet!AZ124)</f>
        <v>2.1101512290939605E-2</v>
      </c>
      <c r="AE124" s="117">
        <f>(Datasheet!BB124-Datasheet!BA124)/Datasheet!BA124</f>
        <v>8.4518257308611081E-2</v>
      </c>
      <c r="AF124" s="118">
        <f>(Datasheet!AX124+Datasheet!AT124)/Datasheet!BB124</f>
        <v>0.51971890077616945</v>
      </c>
      <c r="AG124" s="111">
        <f>(Datasheet!AP124*1000)/Datasheet!E124</f>
        <v>574.48093358873166</v>
      </c>
      <c r="AH124" s="119">
        <f>Datasheet!BW124/SUM(Datasheet!$BW124:$BZ124)</f>
        <v>0.74708171206225682</v>
      </c>
      <c r="AI124" s="119">
        <f>Datasheet!BX124/SUM(Datasheet!$BW124:$BZ124)</f>
        <v>0.10116731517509728</v>
      </c>
      <c r="AJ124" s="119">
        <f>Datasheet!BY124/SUM(Datasheet!$BW124:$BZ124)</f>
        <v>3.5019455252918288E-2</v>
      </c>
      <c r="AK124" s="119">
        <f>Datasheet!BZ124/SUM(Datasheet!$BW124:$BZ124)</f>
        <v>0.11673151750972763</v>
      </c>
      <c r="AL124" s="31">
        <f>Datasheet!BR124+Datasheet!BS124</f>
        <v>33</v>
      </c>
      <c r="AM124" s="31">
        <f>100-Datasheet!BV124</f>
        <v>81</v>
      </c>
      <c r="AN124" s="121">
        <f>(Datasheet!CL124-Datasheet!CK124)/Datasheet!CK124</f>
        <v>-0.66816143497757852</v>
      </c>
    </row>
    <row r="125" spans="1:40">
      <c r="A125" s="42" t="s">
        <v>443</v>
      </c>
      <c r="B125" s="42" t="s">
        <v>444</v>
      </c>
      <c r="C125" s="42" t="s">
        <v>445</v>
      </c>
      <c r="D125" s="116">
        <f>Datasheet!G125/Datasheet!E125</f>
        <v>0.74244748642907721</v>
      </c>
      <c r="E125" s="116">
        <f>Datasheet!I125/Datasheet!E125</f>
        <v>0.25755251357092285</v>
      </c>
      <c r="F125" s="116">
        <f>(Datasheet!E125-Datasheet!D125)/Datasheet!D125</f>
        <v>7.4176578708300758E-2</v>
      </c>
      <c r="G125" s="116">
        <f>(Datasheet!G125-Datasheet!F125)/Datasheet!F125</f>
        <v>6.2972835983404987E-2</v>
      </c>
      <c r="H125" s="116">
        <f>(Datasheet!I125-Datasheet!H125)/Datasheet!H125</f>
        <v>0.10783677843264432</v>
      </c>
      <c r="I125" s="116">
        <f>(Datasheet!K125-Datasheet!J125)/Datasheet!J125</f>
        <v>0.30095036958817317</v>
      </c>
      <c r="J125" s="116">
        <f>Datasheet!F125/Datasheet!D125</f>
        <v>0.7502728892456989</v>
      </c>
      <c r="K125" s="116">
        <f>Datasheet!H125/Datasheet!D125</f>
        <v>0.2497271107543011</v>
      </c>
      <c r="L125" s="116">
        <f>Datasheet!R125/Datasheet!Q125</f>
        <v>0.91200000000000003</v>
      </c>
      <c r="M125" s="117">
        <f>(Datasheet!AB125-Datasheet!AA125)/Datasheet!AA125</f>
        <v>0</v>
      </c>
      <c r="N125" s="118">
        <f>Datasheet!AC125/Datasheet!E125</f>
        <v>2.8616945952324759E-2</v>
      </c>
      <c r="O125" s="111">
        <f>SUM(Datasheet!AD125:AG125)</f>
        <v>1115</v>
      </c>
      <c r="P125" s="111">
        <f>SUM(Datasheet!AH125:AK125)</f>
        <v>2315</v>
      </c>
      <c r="Q125" s="111">
        <f t="shared" si="1"/>
        <v>3430</v>
      </c>
      <c r="R125" s="118">
        <f>Q125/Datasheet!AC125</f>
        <v>0.78579610538373423</v>
      </c>
      <c r="S125" s="118">
        <f>Datasheet!AL125/Datasheet!G125</f>
        <v>1.0817063586673378E-2</v>
      </c>
      <c r="T125" s="118">
        <f>Datasheet!AM125/Datasheet!I125</f>
        <v>7.9928725976835938E-2</v>
      </c>
      <c r="U125" s="119">
        <f>O125/Datasheet!AL125</f>
        <v>0.91020408163265309</v>
      </c>
      <c r="V125" s="119">
        <f>P125/Datasheet!AM125</f>
        <v>0.73726114649681529</v>
      </c>
      <c r="W125" s="120">
        <f>((Datasheet!AP125-Datasheet!AO125)/Datasheet!AO125)*100</f>
        <v>11.612505633789862</v>
      </c>
      <c r="X125" s="119">
        <f>Datasheet!AQ125/Datasheet!AR125</f>
        <v>0.46071338351942603</v>
      </c>
      <c r="Y125" s="111">
        <f>Datasheet!AV125+Datasheet!AS125</f>
        <v>57562</v>
      </c>
      <c r="Z125" s="117">
        <f>Datasheet!AW125/(Datasheet!AS125+Datasheet!AV125)</f>
        <v>0.6252041277231507</v>
      </c>
      <c r="AA125" s="111">
        <f>Datasheet!AX125+Datasheet!AT125</f>
        <v>51320</v>
      </c>
      <c r="AB125" s="119">
        <f>Datasheet!AY125/(Datasheet!AT125+Datasheet!AX125)</f>
        <v>0.48690568978955573</v>
      </c>
      <c r="AC125" s="119">
        <f>Datasheet!AU125/(Datasheet!AU125+Datasheet!AZ125)</f>
        <v>0.92947495177911099</v>
      </c>
      <c r="AD125" s="119">
        <f>Datasheet!AZ125/(Datasheet!AU125+Datasheet!AZ125)</f>
        <v>7.0525048220888967E-2</v>
      </c>
      <c r="AE125" s="117">
        <f>(Datasheet!BB125-Datasheet!BA125)/Datasheet!BA125</f>
        <v>0.10142256860489683</v>
      </c>
      <c r="AF125" s="118">
        <f>(Datasheet!AX125+Datasheet!AT125)/Datasheet!BB125</f>
        <v>0.54689414848836837</v>
      </c>
      <c r="AG125" s="111">
        <f>(Datasheet!AP125*1000)/Datasheet!E125</f>
        <v>795.53142947053732</v>
      </c>
      <c r="AH125" s="119">
        <f>Datasheet!BW125/SUM(Datasheet!$BW125:$BZ125)</f>
        <v>0.74226804123711343</v>
      </c>
      <c r="AI125" s="119">
        <f>Datasheet!BX125/SUM(Datasheet!$BW125:$BZ125)</f>
        <v>7.7319587628865982E-2</v>
      </c>
      <c r="AJ125" s="119">
        <f>Datasheet!BY125/SUM(Datasheet!$BW125:$BZ125)</f>
        <v>3.608247422680412E-2</v>
      </c>
      <c r="AK125" s="119">
        <f>Datasheet!BZ125/SUM(Datasheet!$BW125:$BZ125)</f>
        <v>0.14432989690721648</v>
      </c>
      <c r="AL125" s="31">
        <f>Datasheet!BR125+Datasheet!BS125</f>
        <v>10</v>
      </c>
      <c r="AM125" s="31">
        <f>100-Datasheet!BV125</f>
        <v>11</v>
      </c>
      <c r="AN125" s="121">
        <f>(Datasheet!CL125-Datasheet!CK125)/Datasheet!CK125</f>
        <v>-0.1542056074766355</v>
      </c>
    </row>
    <row r="126" spans="1:40">
      <c r="A126" s="42" t="s">
        <v>446</v>
      </c>
      <c r="B126" s="42" t="s">
        <v>447</v>
      </c>
      <c r="C126" s="42" t="s">
        <v>448</v>
      </c>
      <c r="D126" s="116">
        <f>Datasheet!G126/Datasheet!E126</f>
        <v>0.71766077946958406</v>
      </c>
      <c r="E126" s="116">
        <f>Datasheet!I126/Datasheet!E126</f>
        <v>0.28233922053041599</v>
      </c>
      <c r="F126" s="116">
        <f>(Datasheet!E126-Datasheet!D126)/Datasheet!D126</f>
        <v>7.157997291756675E-2</v>
      </c>
      <c r="G126" s="116">
        <f>(Datasheet!G126-Datasheet!F126)/Datasheet!F126</f>
        <v>3.8435561263344187E-2</v>
      </c>
      <c r="H126" s="116">
        <f>(Datasheet!I126-Datasheet!H126)/Datasheet!H126</f>
        <v>0.16619258646608137</v>
      </c>
      <c r="I126" s="116">
        <f>(Datasheet!K126-Datasheet!J126)/Datasheet!J126</f>
        <v>0.31324266284896207</v>
      </c>
      <c r="J126" s="116">
        <f>Datasheet!F126/Datasheet!D126</f>
        <v>0.74056681735015495</v>
      </c>
      <c r="K126" s="116">
        <f>Datasheet!H126/Datasheet!D126</f>
        <v>0.259433182649845</v>
      </c>
      <c r="L126" s="116">
        <f>Datasheet!R126/Datasheet!Q126</f>
        <v>0.900709219858156</v>
      </c>
      <c r="M126" s="117">
        <f>(Datasheet!AB126-Datasheet!AA126)/Datasheet!AA126</f>
        <v>8.1490242460082796E-2</v>
      </c>
      <c r="N126" s="118">
        <f>Datasheet!AC126/Datasheet!E126</f>
        <v>1.7284114309217204E-2</v>
      </c>
      <c r="O126" s="111">
        <f>SUM(Datasheet!AD126:AG126)</f>
        <v>2820</v>
      </c>
      <c r="P126" s="111">
        <f>SUM(Datasheet!AH126:AK126)</f>
        <v>4975</v>
      </c>
      <c r="Q126" s="111">
        <f t="shared" si="1"/>
        <v>7795</v>
      </c>
      <c r="R126" s="118">
        <f>Q126/Datasheet!AC126</f>
        <v>0.61017612524461839</v>
      </c>
      <c r="S126" s="118">
        <f>Datasheet!AL126/Datasheet!G126</f>
        <v>6.645476551365292E-3</v>
      </c>
      <c r="T126" s="118">
        <f>Datasheet!AM126/Datasheet!I126</f>
        <v>4.4325816313817198E-2</v>
      </c>
      <c r="U126" s="119">
        <f>O126/Datasheet!AL126</f>
        <v>0.8</v>
      </c>
      <c r="V126" s="119">
        <f>P126/Datasheet!AM126</f>
        <v>0.53783783783783778</v>
      </c>
      <c r="W126" s="120">
        <f>((Datasheet!AP126-Datasheet!AO126)/Datasheet!AO126)*100</f>
        <v>6.1740381821284762</v>
      </c>
      <c r="X126" s="119">
        <f>Datasheet!AQ126/Datasheet!AR126</f>
        <v>0.61524168215110031</v>
      </c>
      <c r="Y126" s="111">
        <f>Datasheet!AV126+Datasheet!AS126</f>
        <v>163756</v>
      </c>
      <c r="Z126" s="117">
        <f>Datasheet!AW126/(Datasheet!AS126+Datasheet!AV126)</f>
        <v>0.60455800092821022</v>
      </c>
      <c r="AA126" s="111">
        <f>Datasheet!AX126+Datasheet!AT126</f>
        <v>250045</v>
      </c>
      <c r="AB126" s="119">
        <f>Datasheet!AY126/(Datasheet!AT126+Datasheet!AX126)</f>
        <v>0.67292687316283073</v>
      </c>
      <c r="AC126" s="119">
        <f>Datasheet!AU126/(Datasheet!AU126+Datasheet!AZ126)</f>
        <v>0.99204449324141908</v>
      </c>
      <c r="AD126" s="119">
        <f>Datasheet!AZ126/(Datasheet!AU126+Datasheet!AZ126)</f>
        <v>7.9555067585809682E-3</v>
      </c>
      <c r="AE126" s="117">
        <f>(Datasheet!BB126-Datasheet!BA126)/Datasheet!BA126</f>
        <v>9.2974173060169182E-2</v>
      </c>
      <c r="AF126" s="118">
        <f>(Datasheet!AX126+Datasheet!AT126)/Datasheet!BB126</f>
        <v>0.64293299529714876</v>
      </c>
      <c r="AG126" s="111">
        <f>(Datasheet!AP126*1000)/Datasheet!E126</f>
        <v>622.87347893029255</v>
      </c>
      <c r="AH126" s="119">
        <f>Datasheet!BW126/SUM(Datasheet!$BW126:$BZ126)</f>
        <v>0.73563218390804597</v>
      </c>
      <c r="AI126" s="119">
        <f>Datasheet!BX126/SUM(Datasheet!$BW126:$BZ126)</f>
        <v>7.8160919540229884E-2</v>
      </c>
      <c r="AJ126" s="119">
        <f>Datasheet!BY126/SUM(Datasheet!$BW126:$BZ126)</f>
        <v>3.9080459770114942E-2</v>
      </c>
      <c r="AK126" s="119">
        <f>Datasheet!BZ126/SUM(Datasheet!$BW126:$BZ126)</f>
        <v>0.14712643678160919</v>
      </c>
      <c r="AL126" s="31">
        <f>Datasheet!BR126+Datasheet!BS126</f>
        <v>19</v>
      </c>
      <c r="AM126" s="31">
        <f>100-Datasheet!BV126</f>
        <v>21</v>
      </c>
      <c r="AN126" s="121">
        <f>(Datasheet!CL126-Datasheet!CK126)/Datasheet!CK126</f>
        <v>1.3802622498274672E-2</v>
      </c>
    </row>
    <row r="127" spans="1:40">
      <c r="A127" s="42" t="s">
        <v>449</v>
      </c>
      <c r="B127" s="42" t="s">
        <v>450</v>
      </c>
      <c r="C127" s="42" t="s">
        <v>451</v>
      </c>
      <c r="D127" s="116">
        <f>Datasheet!G127/Datasheet!E127</f>
        <v>0.74120832952021232</v>
      </c>
      <c r="E127" s="116">
        <f>Datasheet!I127/Datasheet!E127</f>
        <v>0.25879167047978768</v>
      </c>
      <c r="F127" s="116">
        <f>(Datasheet!E127-Datasheet!D127)/Datasheet!D127</f>
        <v>5.8975375534117441E-2</v>
      </c>
      <c r="G127" s="116">
        <f>(Datasheet!G127-Datasheet!F127)/Datasheet!F127</f>
        <v>4.4277090781222529E-2</v>
      </c>
      <c r="H127" s="116">
        <f>(Datasheet!I127-Datasheet!H127)/Datasheet!H127</f>
        <v>0.10345867328840014</v>
      </c>
      <c r="I127" s="116">
        <f>(Datasheet!K127-Datasheet!J127)/Datasheet!J127</f>
        <v>0.20570670205706701</v>
      </c>
      <c r="J127" s="116">
        <f>Datasheet!F127/Datasheet!D127</f>
        <v>0.75164089687678959</v>
      </c>
      <c r="K127" s="116">
        <f>Datasheet!H127/Datasheet!D127</f>
        <v>0.24835910312321044</v>
      </c>
      <c r="L127" s="116">
        <f>Datasheet!R127/Datasheet!Q127</f>
        <v>0.92142857142857137</v>
      </c>
      <c r="M127" s="117">
        <f>(Datasheet!AB127-Datasheet!AA127)/Datasheet!AA127</f>
        <v>5.643251775848461E-2</v>
      </c>
      <c r="N127" s="118">
        <f>Datasheet!AC127/Datasheet!E127</f>
        <v>2.1422807178096324E-2</v>
      </c>
      <c r="O127" s="111">
        <f>SUM(Datasheet!AD127:AG127)</f>
        <v>1320</v>
      </c>
      <c r="P127" s="111">
        <f>SUM(Datasheet!AH127:AK127)</f>
        <v>2255</v>
      </c>
      <c r="Q127" s="111">
        <f t="shared" si="1"/>
        <v>3575</v>
      </c>
      <c r="R127" s="118">
        <f>Q127/Datasheet!AC127</f>
        <v>0.69417475728155342</v>
      </c>
      <c r="S127" s="118">
        <f>Datasheet!AL127/Datasheet!G127</f>
        <v>8.3620955748239193E-3</v>
      </c>
      <c r="T127" s="118">
        <f>Datasheet!AM127/Datasheet!I127</f>
        <v>5.8830148039798753E-2</v>
      </c>
      <c r="U127" s="119">
        <f>O127/Datasheet!AL127</f>
        <v>0.88590604026845643</v>
      </c>
      <c r="V127" s="119">
        <f>P127/Datasheet!AM127</f>
        <v>0.61612021857923494</v>
      </c>
      <c r="W127" s="120">
        <f>((Datasheet!AP127-Datasheet!AO127)/Datasheet!AO127)*100</f>
        <v>4.7856274043078209</v>
      </c>
      <c r="X127" s="119">
        <f>Datasheet!AQ127/Datasheet!AR127</f>
        <v>0.46277457770116476</v>
      </c>
      <c r="Y127" s="111">
        <f>Datasheet!AV127+Datasheet!AS127</f>
        <v>73137</v>
      </c>
      <c r="Z127" s="117">
        <f>Datasheet!AW127/(Datasheet!AS127+Datasheet!AV127)</f>
        <v>0.64524112282428869</v>
      </c>
      <c r="AA127" s="111">
        <f>Datasheet!AX127+Datasheet!AT127</f>
        <v>77038</v>
      </c>
      <c r="AB127" s="119">
        <f>Datasheet!AY127/(Datasheet!AT127+Datasheet!AX127)</f>
        <v>0.68288377164516212</v>
      </c>
      <c r="AC127" s="119">
        <f>Datasheet!AU127/(Datasheet!AU127+Datasheet!AZ127)</f>
        <v>0.92528086426092138</v>
      </c>
      <c r="AD127" s="119">
        <f>Datasheet!AZ127/(Datasheet!AU127+Datasheet!AZ127)</f>
        <v>7.4719135739078638E-2</v>
      </c>
      <c r="AE127" s="117">
        <f>(Datasheet!BB127-Datasheet!BA127)/Datasheet!BA127</f>
        <v>0.11191717733033914</v>
      </c>
      <c r="AF127" s="118">
        <f>(Datasheet!AX127+Datasheet!AT127)/Datasheet!BB127</f>
        <v>0.52741550110565705</v>
      </c>
      <c r="AG127" s="111">
        <f>(Datasheet!AP127*1000)/Datasheet!E127</f>
        <v>748.96629755655204</v>
      </c>
      <c r="AH127" s="119">
        <f>Datasheet!BW127/SUM(Datasheet!$BW127:$BZ127)</f>
        <v>0.75709779179810721</v>
      </c>
      <c r="AI127" s="119">
        <f>Datasheet!BX127/SUM(Datasheet!$BW127:$BZ127)</f>
        <v>7.5709779179810727E-2</v>
      </c>
      <c r="AJ127" s="119">
        <f>Datasheet!BY127/SUM(Datasheet!$BW127:$BZ127)</f>
        <v>4.1009463722397478E-2</v>
      </c>
      <c r="AK127" s="119">
        <f>Datasheet!BZ127/SUM(Datasheet!$BW127:$BZ127)</f>
        <v>0.12618296529968454</v>
      </c>
      <c r="AL127" s="31">
        <f>Datasheet!BR127+Datasheet!BS127</f>
        <v>27</v>
      </c>
      <c r="AM127" s="31">
        <f>100-Datasheet!BV127</f>
        <v>38</v>
      </c>
      <c r="AN127" s="121">
        <f>(Datasheet!CL127-Datasheet!CK127)/Datasheet!CK127</f>
        <v>8.0291970802919707E-2</v>
      </c>
    </row>
    <row r="128" spans="1:40">
      <c r="A128" s="42" t="s">
        <v>452</v>
      </c>
      <c r="B128" s="42" t="s">
        <v>453</v>
      </c>
      <c r="C128" s="42" t="s">
        <v>454</v>
      </c>
      <c r="D128" s="116">
        <f>Datasheet!G128/Datasheet!E128</f>
        <v>0.74431611914767937</v>
      </c>
      <c r="E128" s="116">
        <f>Datasheet!I128/Datasheet!E128</f>
        <v>0.25568388085232063</v>
      </c>
      <c r="F128" s="116">
        <f>(Datasheet!E128-Datasheet!D128)/Datasheet!D128</f>
        <v>6.2721916706445474E-2</v>
      </c>
      <c r="G128" s="116">
        <f>(Datasheet!G128-Datasheet!F128)/Datasheet!F128</f>
        <v>1.4747208683908095E-2</v>
      </c>
      <c r="H128" s="116">
        <f>(Datasheet!I128-Datasheet!H128)/Datasheet!H128</f>
        <v>0.2323250296559905</v>
      </c>
      <c r="I128" s="116">
        <f>(Datasheet!K128-Datasheet!J128)/Datasheet!J128</f>
        <v>0.24521561622862975</v>
      </c>
      <c r="J128" s="116">
        <f>Datasheet!F128/Datasheet!D128</f>
        <v>0.77950552217041891</v>
      </c>
      <c r="K128" s="116">
        <f>Datasheet!H128/Datasheet!D128</f>
        <v>0.22049447782958104</v>
      </c>
      <c r="L128" s="116">
        <f>Datasheet!R128/Datasheet!Q128</f>
        <v>0.88495575221238942</v>
      </c>
      <c r="M128" s="117">
        <f>(Datasheet!AB128-Datasheet!AA128)/Datasheet!AA128</f>
        <v>1.341948310139165E-2</v>
      </c>
      <c r="N128" s="118">
        <f>Datasheet!AC128/Datasheet!E128</f>
        <v>2.1689504740925788E-2</v>
      </c>
      <c r="O128" s="111">
        <f>SUM(Datasheet!AD128:AG128)</f>
        <v>1030</v>
      </c>
      <c r="P128" s="111">
        <f>SUM(Datasheet!AH128:AK128)</f>
        <v>1270</v>
      </c>
      <c r="Q128" s="111">
        <f t="shared" si="1"/>
        <v>2300</v>
      </c>
      <c r="R128" s="118">
        <f>Q128/Datasheet!AC128</f>
        <v>0.65248226950354615</v>
      </c>
      <c r="S128" s="118">
        <f>Datasheet!AL128/Datasheet!G128</f>
        <v>1.0085395190423835E-2</v>
      </c>
      <c r="T128" s="118">
        <f>Datasheet!AM128/Datasheet!I128</f>
        <v>5.5469990855272655E-2</v>
      </c>
      <c r="U128" s="119">
        <f>O128/Datasheet!AL128</f>
        <v>0.84426229508196726</v>
      </c>
      <c r="V128" s="119">
        <f>P128/Datasheet!AM128</f>
        <v>0.55097613882863339</v>
      </c>
      <c r="W128" s="120">
        <f>((Datasheet!AP128-Datasheet!AO128)/Datasheet!AO128)*100</f>
        <v>8.0996404725218287</v>
      </c>
      <c r="X128" s="119">
        <f>Datasheet!AQ128/Datasheet!AR128</f>
        <v>0.43283265808606503</v>
      </c>
      <c r="Y128" s="111">
        <f>Datasheet!AV128+Datasheet!AS128</f>
        <v>38757</v>
      </c>
      <c r="Z128" s="117">
        <f>Datasheet!AW128/(Datasheet!AS128+Datasheet!AV128)</f>
        <v>0.55324199499445259</v>
      </c>
      <c r="AA128" s="111">
        <f>Datasheet!AX128+Datasheet!AT128</f>
        <v>53745</v>
      </c>
      <c r="AB128" s="119">
        <f>Datasheet!AY128/(Datasheet!AT128+Datasheet!AX128)</f>
        <v>0.51485719601823421</v>
      </c>
      <c r="AC128" s="119">
        <f>Datasheet!AU128/(Datasheet!AU128+Datasheet!AZ128)</f>
        <v>0.91853013277584894</v>
      </c>
      <c r="AD128" s="119">
        <f>Datasheet!AZ128/(Datasheet!AU128+Datasheet!AZ128)</f>
        <v>8.1469867224151019E-2</v>
      </c>
      <c r="AE128" s="117">
        <f>(Datasheet!BB128-Datasheet!BA128)/Datasheet!BA128</f>
        <v>0.10451228060530258</v>
      </c>
      <c r="AF128" s="118">
        <f>(Datasheet!AX128+Datasheet!AT128)/Datasheet!BB128</f>
        <v>0.66879456452756936</v>
      </c>
      <c r="AG128" s="111">
        <f>(Datasheet!AP128*1000)/Datasheet!E128</f>
        <v>647.51632096775188</v>
      </c>
      <c r="AH128" s="119">
        <f>Datasheet!BW128/SUM(Datasheet!$BW128:$BZ128)</f>
        <v>0.75576036866359442</v>
      </c>
      <c r="AI128" s="119">
        <f>Datasheet!BX128/SUM(Datasheet!$BW128:$BZ128)</f>
        <v>6.9124423963133647E-2</v>
      </c>
      <c r="AJ128" s="119">
        <f>Datasheet!BY128/SUM(Datasheet!$BW128:$BZ128)</f>
        <v>4.6082949308755762E-2</v>
      </c>
      <c r="AK128" s="119">
        <f>Datasheet!BZ128/SUM(Datasheet!$BW128:$BZ128)</f>
        <v>0.12903225806451613</v>
      </c>
      <c r="AL128" s="31">
        <f>Datasheet!BR128+Datasheet!BS128</f>
        <v>20</v>
      </c>
      <c r="AM128" s="31">
        <f>100-Datasheet!BV128</f>
        <v>25</v>
      </c>
      <c r="AN128" s="121">
        <f>(Datasheet!CL128-Datasheet!CK128)/Datasheet!CK128</f>
        <v>0.11447811447811448</v>
      </c>
    </row>
    <row r="129" spans="1:40">
      <c r="A129" s="42" t="s">
        <v>455</v>
      </c>
      <c r="B129" s="42" t="s">
        <v>456</v>
      </c>
      <c r="C129" s="42" t="s">
        <v>457</v>
      </c>
      <c r="D129" s="116">
        <f>Datasheet!G129/Datasheet!E129</f>
        <v>0.77890185083988694</v>
      </c>
      <c r="E129" s="116">
        <f>Datasheet!I129/Datasheet!E129</f>
        <v>0.22109814916011308</v>
      </c>
      <c r="F129" s="116">
        <f>(Datasheet!E129-Datasheet!D129)/Datasheet!D129</f>
        <v>6.5155993764298578E-2</v>
      </c>
      <c r="G129" s="116">
        <f>(Datasheet!G129-Datasheet!F129)/Datasheet!F129</f>
        <v>5.5799243814934334E-2</v>
      </c>
      <c r="H129" s="116">
        <f>(Datasheet!I129-Datasheet!H129)/Datasheet!H129</f>
        <v>9.9482501949478955E-2</v>
      </c>
      <c r="I129" s="116">
        <f>(Datasheet!K129-Datasheet!J129)/Datasheet!J129</f>
        <v>0.16324496711181982</v>
      </c>
      <c r="J129" s="116">
        <f>Datasheet!F129/Datasheet!D129</f>
        <v>0.7858046686777479</v>
      </c>
      <c r="K129" s="116">
        <f>Datasheet!H129/Datasheet!D129</f>
        <v>0.21419533132225213</v>
      </c>
      <c r="L129" s="116">
        <f>Datasheet!R129/Datasheet!Q129</f>
        <v>0.8582677165354331</v>
      </c>
      <c r="M129" s="117">
        <f>(Datasheet!AB129-Datasheet!AA129)/Datasheet!AA129</f>
        <v>4.161849710982659E-2</v>
      </c>
      <c r="N129" s="118">
        <f>Datasheet!AC129/Datasheet!E129</f>
        <v>2.1383259283898406E-2</v>
      </c>
      <c r="O129" s="111">
        <f>SUM(Datasheet!AD129:AG129)</f>
        <v>990</v>
      </c>
      <c r="P129" s="111">
        <f>SUM(Datasheet!AH129:AK129)</f>
        <v>1720</v>
      </c>
      <c r="Q129" s="111">
        <f t="shared" si="1"/>
        <v>2710</v>
      </c>
      <c r="R129" s="118">
        <f>Q129/Datasheet!AC129</f>
        <v>0.60222222222222221</v>
      </c>
      <c r="S129" s="118">
        <f>Datasheet!AL129/Datasheet!G129</f>
        <v>8.0529051465384714E-3</v>
      </c>
      <c r="T129" s="118">
        <f>Datasheet!AM129/Datasheet!I129</f>
        <v>6.8344473339207804E-2</v>
      </c>
      <c r="U129" s="119">
        <f>O129/Datasheet!AL129</f>
        <v>0.75</v>
      </c>
      <c r="V129" s="119">
        <f>P129/Datasheet!AM129</f>
        <v>0.54088050314465408</v>
      </c>
      <c r="W129" s="120">
        <f>((Datasheet!AP129-Datasheet!AO129)/Datasheet!AO129)*100</f>
        <v>18.753214391782748</v>
      </c>
      <c r="X129" s="119">
        <f>Datasheet!AQ129/Datasheet!AR129</f>
        <v>0.5465297680256177</v>
      </c>
      <c r="Y129" s="111">
        <f>Datasheet!AV129+Datasheet!AS129</f>
        <v>61245</v>
      </c>
      <c r="Z129" s="117">
        <f>Datasheet!AW129/(Datasheet!AS129+Datasheet!AV129)</f>
        <v>0.55367785125316349</v>
      </c>
      <c r="AA129" s="111">
        <f>Datasheet!AX129+Datasheet!AT129</f>
        <v>74076</v>
      </c>
      <c r="AB129" s="119">
        <f>Datasheet!AY129/(Datasheet!AT129+Datasheet!AX129)</f>
        <v>0.47745558615475997</v>
      </c>
      <c r="AC129" s="119">
        <f>Datasheet!AU129/(Datasheet!AU129+Datasheet!AZ129)</f>
        <v>0.96679232050495312</v>
      </c>
      <c r="AD129" s="119">
        <f>Datasheet!AZ129/(Datasheet!AU129+Datasheet!AZ129)</f>
        <v>3.3207679495046903E-2</v>
      </c>
      <c r="AE129" s="117">
        <f>(Datasheet!BB129-Datasheet!BA129)/Datasheet!BA129</f>
        <v>0.11027837259100642</v>
      </c>
      <c r="AF129" s="118">
        <f>(Datasheet!AX129+Datasheet!AT129)/Datasheet!BB129</f>
        <v>0.64939072499342509</v>
      </c>
      <c r="AG129" s="111">
        <f>(Datasheet!AP129*1000)/Datasheet!E129</f>
        <v>779.01589488940101</v>
      </c>
      <c r="AH129" s="119">
        <f>Datasheet!BW129/SUM(Datasheet!$BW129:$BZ129)</f>
        <v>0.73186119873817035</v>
      </c>
      <c r="AI129" s="119">
        <f>Datasheet!BX129/SUM(Datasheet!$BW129:$BZ129)</f>
        <v>7.5709779179810727E-2</v>
      </c>
      <c r="AJ129" s="119">
        <f>Datasheet!BY129/SUM(Datasheet!$BW129:$BZ129)</f>
        <v>5.362776025236593E-2</v>
      </c>
      <c r="AK129" s="119">
        <f>Datasheet!BZ129/SUM(Datasheet!$BW129:$BZ129)</f>
        <v>0.13880126182965299</v>
      </c>
      <c r="AL129" s="31">
        <f>Datasheet!BR129+Datasheet!BS129</f>
        <v>29</v>
      </c>
      <c r="AM129" s="31">
        <f>100-Datasheet!BV129</f>
        <v>33</v>
      </c>
      <c r="AN129" s="121">
        <f>(Datasheet!CL129-Datasheet!CK129)/Datasheet!CK129</f>
        <v>-0.65737051792828682</v>
      </c>
    </row>
    <row r="130" spans="1:40">
      <c r="A130" s="42" t="s">
        <v>458</v>
      </c>
      <c r="B130" s="42" t="s">
        <v>459</v>
      </c>
      <c r="C130" s="42" t="s">
        <v>460</v>
      </c>
      <c r="D130" s="116">
        <f>Datasheet!G130/Datasheet!E130</f>
        <v>0.69553101891017477</v>
      </c>
      <c r="E130" s="116">
        <f>Datasheet!I130/Datasheet!E130</f>
        <v>0.30446898108982529</v>
      </c>
      <c r="F130" s="116">
        <f>(Datasheet!E130-Datasheet!D130)/Datasheet!D130</f>
        <v>7.5620061291288357E-2</v>
      </c>
      <c r="G130" s="116">
        <f>(Datasheet!G130-Datasheet!F130)/Datasheet!F130</f>
        <v>3.644654886764271E-2</v>
      </c>
      <c r="H130" s="116">
        <f>(Datasheet!I130-Datasheet!H130)/Datasheet!H130</f>
        <v>0.17726692827213419</v>
      </c>
      <c r="I130" s="116">
        <f>(Datasheet!K130-Datasheet!J130)/Datasheet!J130</f>
        <v>0.19850268305348798</v>
      </c>
      <c r="J130" s="116">
        <f>Datasheet!F130/Datasheet!D130</f>
        <v>0.72181929498198605</v>
      </c>
      <c r="K130" s="116">
        <f>Datasheet!H130/Datasheet!D130</f>
        <v>0.27818070501801401</v>
      </c>
      <c r="L130" s="116">
        <f>Datasheet!R130/Datasheet!Q130</f>
        <v>0.87152034261241973</v>
      </c>
      <c r="M130" s="117">
        <f>(Datasheet!AB130-Datasheet!AA130)/Datasheet!AA130</f>
        <v>3.0318342597271349E-2</v>
      </c>
      <c r="N130" s="118">
        <f>Datasheet!AC130/Datasheet!E130</f>
        <v>2.2009485580073089E-2</v>
      </c>
      <c r="O130" s="111">
        <f>SUM(Datasheet!AD130:AG130)</f>
        <v>3620</v>
      </c>
      <c r="P130" s="111">
        <f>SUM(Datasheet!AH130:AK130)</f>
        <v>6015</v>
      </c>
      <c r="Q130" s="111">
        <f t="shared" si="1"/>
        <v>9635</v>
      </c>
      <c r="R130" s="118">
        <f>Q130/Datasheet!AC130</f>
        <v>0.68454706927175846</v>
      </c>
      <c r="S130" s="118">
        <f>Datasheet!AL130/Datasheet!G130</f>
        <v>9.1166617954540341E-3</v>
      </c>
      <c r="T130" s="118">
        <f>Datasheet!AM130/Datasheet!I130</f>
        <v>5.1461940248681351E-2</v>
      </c>
      <c r="U130" s="119">
        <f>O130/Datasheet!AL130</f>
        <v>0.89272503082614052</v>
      </c>
      <c r="V130" s="119">
        <f>P130/Datasheet!AM130</f>
        <v>0.60029940119760483</v>
      </c>
      <c r="W130" s="120">
        <f>((Datasheet!AP130-Datasheet!AO130)/Datasheet!AO130)*100</f>
        <v>7.9280239117885021</v>
      </c>
      <c r="X130" s="119">
        <f>Datasheet!AQ130/Datasheet!AR130</f>
        <v>0.61654278395662554</v>
      </c>
      <c r="Y130" s="111">
        <f>Datasheet!AV130+Datasheet!AS130</f>
        <v>174956</v>
      </c>
      <c r="Z130" s="117">
        <f>Datasheet!AW130/(Datasheet!AS130+Datasheet!AV130)</f>
        <v>0.69341434417796477</v>
      </c>
      <c r="AA130" s="111">
        <f>Datasheet!AX130+Datasheet!AT130</f>
        <v>241978</v>
      </c>
      <c r="AB130" s="119">
        <f>Datasheet!AY130/(Datasheet!AT130+Datasheet!AX130)</f>
        <v>0.61944887551760908</v>
      </c>
      <c r="AC130" s="119">
        <f>Datasheet!AU130/(Datasheet!AU130+Datasheet!AZ130)</f>
        <v>0.98679543899419686</v>
      </c>
      <c r="AD130" s="119">
        <f>Datasheet!AZ130/(Datasheet!AU130+Datasheet!AZ130)</f>
        <v>1.3204561005803112E-2</v>
      </c>
      <c r="AE130" s="117">
        <f>(Datasheet!BB130-Datasheet!BA130)/Datasheet!BA130</f>
        <v>8.4444973122390826E-2</v>
      </c>
      <c r="AF130" s="118">
        <f>(Datasheet!AX130+Datasheet!AT130)/Datasheet!BB130</f>
        <v>0.6319646485486996</v>
      </c>
      <c r="AG130" s="111">
        <f>(Datasheet!AP130*1000)/Datasheet!E130</f>
        <v>757.185725656258</v>
      </c>
      <c r="AH130" s="119">
        <f>Datasheet!BW130/SUM(Datasheet!$BW130:$BZ130)</f>
        <v>0.70776255707762559</v>
      </c>
      <c r="AI130" s="119">
        <f>Datasheet!BX130/SUM(Datasheet!$BW130:$BZ130)</f>
        <v>8.6757990867579904E-2</v>
      </c>
      <c r="AJ130" s="119">
        <f>Datasheet!BY130/SUM(Datasheet!$BW130:$BZ130)</f>
        <v>4.5662100456621002E-2</v>
      </c>
      <c r="AK130" s="119">
        <f>Datasheet!BZ130/SUM(Datasheet!$BW130:$BZ130)</f>
        <v>0.15981735159817351</v>
      </c>
      <c r="AL130" s="31">
        <f>Datasheet!BR130+Datasheet!BS130</f>
        <v>26</v>
      </c>
      <c r="AM130" s="31">
        <f>100-Datasheet!BV130</f>
        <v>25</v>
      </c>
      <c r="AN130" s="121">
        <f>(Datasheet!CL130-Datasheet!CK130)/Datasheet!CK130</f>
        <v>0.16517857142857142</v>
      </c>
    </row>
    <row r="131" spans="1:40">
      <c r="A131" s="42" t="s">
        <v>461</v>
      </c>
      <c r="B131" s="42" t="s">
        <v>462</v>
      </c>
      <c r="C131" s="42" t="s">
        <v>463</v>
      </c>
      <c r="D131" s="116">
        <f>Datasheet!G131/Datasheet!E131</f>
        <v>0.73703159441587074</v>
      </c>
      <c r="E131" s="116">
        <f>Datasheet!I131/Datasheet!E131</f>
        <v>0.26296840558412932</v>
      </c>
      <c r="F131" s="116">
        <f>(Datasheet!E131-Datasheet!D131)/Datasheet!D131</f>
        <v>4.5702302289634726E-2</v>
      </c>
      <c r="G131" s="116">
        <f>(Datasheet!G131-Datasheet!F131)/Datasheet!F131</f>
        <v>5.6792715434880042E-3</v>
      </c>
      <c r="H131" s="116">
        <f>(Datasheet!I131-Datasheet!H131)/Datasheet!H131</f>
        <v>0.17698378922118621</v>
      </c>
      <c r="I131" s="116">
        <f>(Datasheet!K131-Datasheet!J131)/Datasheet!J131</f>
        <v>0.28087927424982556</v>
      </c>
      <c r="J131" s="116">
        <f>Datasheet!F131/Datasheet!D131</f>
        <v>0.76636325014236772</v>
      </c>
      <c r="K131" s="116">
        <f>Datasheet!H131/Datasheet!D131</f>
        <v>0.23363674985763228</v>
      </c>
      <c r="L131" s="116">
        <f>Datasheet!R131/Datasheet!Q131</f>
        <v>0.85632183908045978</v>
      </c>
      <c r="M131" s="117">
        <f>(Datasheet!AB131-Datasheet!AA131)/Datasheet!AA131</f>
        <v>7.4377091855708439E-4</v>
      </c>
      <c r="N131" s="118">
        <f>Datasheet!AC131/Datasheet!E131</f>
        <v>2.2496434282750572E-2</v>
      </c>
      <c r="O131" s="111">
        <f>SUM(Datasheet!AD131:AG131)</f>
        <v>1200</v>
      </c>
      <c r="P131" s="111">
        <f>SUM(Datasheet!AH131:AK131)</f>
        <v>1890</v>
      </c>
      <c r="Q131" s="111">
        <f t="shared" si="1"/>
        <v>3090</v>
      </c>
      <c r="R131" s="118">
        <f>Q131/Datasheet!AC131</f>
        <v>0.59365994236311237</v>
      </c>
      <c r="S131" s="118">
        <f>Datasheet!AL131/Datasheet!G131</f>
        <v>8.2684853424970818E-3</v>
      </c>
      <c r="T131" s="118">
        <f>Datasheet!AM131/Datasheet!I131</f>
        <v>6.2373650214486466E-2</v>
      </c>
      <c r="U131" s="119">
        <f>O131/Datasheet!AL131</f>
        <v>0.85106382978723405</v>
      </c>
      <c r="V131" s="119">
        <f>P131/Datasheet!AM131</f>
        <v>0.49802371541501977</v>
      </c>
      <c r="W131" s="120">
        <f>((Datasheet!AP131-Datasheet!AO131)/Datasheet!AO131)*100</f>
        <v>8.5426416907919585</v>
      </c>
      <c r="X131" s="119">
        <f>Datasheet!AQ131/Datasheet!AR131</f>
        <v>0.55292581351027037</v>
      </c>
      <c r="Y131" s="111">
        <f>Datasheet!AV131+Datasheet!AS131</f>
        <v>63835</v>
      </c>
      <c r="Z131" s="117">
        <f>Datasheet!AW131/(Datasheet!AS131+Datasheet!AV131)</f>
        <v>0.66814443487115216</v>
      </c>
      <c r="AA131" s="111">
        <f>Datasheet!AX131+Datasheet!AT131</f>
        <v>91996</v>
      </c>
      <c r="AB131" s="119">
        <f>Datasheet!AY131/(Datasheet!AT131+Datasheet!AX131)</f>
        <v>0.61585286316796384</v>
      </c>
      <c r="AC131" s="119">
        <f>Datasheet!AU131/(Datasheet!AU131+Datasheet!AZ131)</f>
        <v>0.98602961918194643</v>
      </c>
      <c r="AD131" s="119">
        <f>Datasheet!AZ131/(Datasheet!AU131+Datasheet!AZ131)</f>
        <v>1.3970380818053596E-2</v>
      </c>
      <c r="AE131" s="117">
        <f>(Datasheet!BB131-Datasheet!BA131)/Datasheet!BA131</f>
        <v>0.10332163615284662</v>
      </c>
      <c r="AF131" s="118">
        <f>(Datasheet!AX131+Datasheet!AT131)/Datasheet!BB131</f>
        <v>0.64877291960507755</v>
      </c>
      <c r="AG131" s="111">
        <f>(Datasheet!AP131*1000)/Datasheet!E131</f>
        <v>819.9550503522496</v>
      </c>
      <c r="AH131" s="119">
        <f>Datasheet!BW131/SUM(Datasheet!$BW131:$BZ131)</f>
        <v>0.70833333333333337</v>
      </c>
      <c r="AI131" s="119">
        <f>Datasheet!BX131/SUM(Datasheet!$BW131:$BZ131)</f>
        <v>8.3333333333333329E-2</v>
      </c>
      <c r="AJ131" s="119">
        <f>Datasheet!BY131/SUM(Datasheet!$BW131:$BZ131)</f>
        <v>5.5555555555555552E-2</v>
      </c>
      <c r="AK131" s="119">
        <f>Datasheet!BZ131/SUM(Datasheet!$BW131:$BZ131)</f>
        <v>0.15277777777777779</v>
      </c>
      <c r="AL131" s="31">
        <f>Datasheet!BR131+Datasheet!BS131</f>
        <v>15</v>
      </c>
      <c r="AM131" s="31">
        <f>100-Datasheet!BV131</f>
        <v>13</v>
      </c>
      <c r="AN131" s="121">
        <f>(Datasheet!CL131-Datasheet!CK131)/Datasheet!CK131</f>
        <v>-0.13296903460837886</v>
      </c>
    </row>
    <row r="132" spans="1:40">
      <c r="A132" s="42" t="s">
        <v>464</v>
      </c>
      <c r="B132" s="42" t="s">
        <v>465</v>
      </c>
      <c r="C132" s="42" t="s">
        <v>466</v>
      </c>
      <c r="D132" s="116">
        <f>Datasheet!G132/Datasheet!E132</f>
        <v>0.75242375588951205</v>
      </c>
      <c r="E132" s="116">
        <f>Datasheet!I132/Datasheet!E132</f>
        <v>0.2475762441104879</v>
      </c>
      <c r="F132" s="116">
        <f>(Datasheet!E132-Datasheet!D132)/Datasheet!D132</f>
        <v>7.6227863655888253E-2</v>
      </c>
      <c r="G132" s="116">
        <f>(Datasheet!G132-Datasheet!F132)/Datasheet!F132</f>
        <v>5.7456688440783867E-2</v>
      </c>
      <c r="H132" s="116">
        <f>(Datasheet!I132-Datasheet!H132)/Datasheet!H132</f>
        <v>0.13760011142837245</v>
      </c>
      <c r="I132" s="116">
        <f>(Datasheet!K132-Datasheet!J132)/Datasheet!J132</f>
        <v>0.20024449877750611</v>
      </c>
      <c r="J132" s="116">
        <f>Datasheet!F132/Datasheet!D132</f>
        <v>0.76578021607572977</v>
      </c>
      <c r="K132" s="116">
        <f>Datasheet!H132/Datasheet!D132</f>
        <v>0.23421978392427018</v>
      </c>
      <c r="L132" s="116">
        <f>Datasheet!R132/Datasheet!Q132</f>
        <v>0.83359746434231374</v>
      </c>
      <c r="M132" s="117">
        <f>(Datasheet!AB132-Datasheet!AA132)/Datasheet!AA132</f>
        <v>9.7174163783160322E-2</v>
      </c>
      <c r="N132" s="118">
        <f>Datasheet!AC132/Datasheet!E132</f>
        <v>1.5388765897767265E-2</v>
      </c>
      <c r="O132" s="111">
        <f>SUM(Datasheet!AD132:AG132)</f>
        <v>4390</v>
      </c>
      <c r="P132" s="111">
        <f>SUM(Datasheet!AH132:AK132)</f>
        <v>5400</v>
      </c>
      <c r="Q132" s="111">
        <f t="shared" si="1"/>
        <v>9790</v>
      </c>
      <c r="R132" s="118">
        <f>Q132/Datasheet!AC132</f>
        <v>0.64281024294156275</v>
      </c>
      <c r="S132" s="118">
        <f>Datasheet!AL132/Datasheet!G132</f>
        <v>7.0971891907861432E-3</v>
      </c>
      <c r="T132" s="118">
        <f>Datasheet!AM132/Datasheet!I132</f>
        <v>4.058819208071112E-2</v>
      </c>
      <c r="U132" s="119">
        <f>O132/Datasheet!AL132</f>
        <v>0.83065279091769162</v>
      </c>
      <c r="V132" s="119">
        <f>P132/Datasheet!AM132</f>
        <v>0.54298642533936647</v>
      </c>
      <c r="W132" s="120">
        <f>((Datasheet!AP132-Datasheet!AO132)/Datasheet!AO132)*100</f>
        <v>0.94607573985844473</v>
      </c>
      <c r="X132" s="119">
        <f>Datasheet!AQ132/Datasheet!AR132</f>
        <v>0.4860840699778522</v>
      </c>
      <c r="Y132" s="111">
        <f>Datasheet!AV132+Datasheet!AS132</f>
        <v>274410</v>
      </c>
      <c r="Z132" s="117">
        <f>Datasheet!AW132/(Datasheet!AS132+Datasheet!AV132)</f>
        <v>0.7094530082722933</v>
      </c>
      <c r="AA132" s="111">
        <f>Datasheet!AX132+Datasheet!AT132</f>
        <v>254706</v>
      </c>
      <c r="AB132" s="119">
        <f>Datasheet!AY132/(Datasheet!AT132+Datasheet!AX132)</f>
        <v>0.66472717564564632</v>
      </c>
      <c r="AC132" s="119">
        <f>Datasheet!AU132/(Datasheet!AU132+Datasheet!AZ132)</f>
        <v>0.98650584141139597</v>
      </c>
      <c r="AD132" s="119">
        <f>Datasheet!AZ132/(Datasheet!AU132+Datasheet!AZ132)</f>
        <v>1.3494158588604021E-2</v>
      </c>
      <c r="AE132" s="117">
        <f>(Datasheet!BB132-Datasheet!BA132)/Datasheet!BA132</f>
        <v>7.4674097468375694E-2</v>
      </c>
      <c r="AF132" s="118">
        <f>(Datasheet!AX132+Datasheet!AT132)/Datasheet!BB132</f>
        <v>0.49768942332304889</v>
      </c>
      <c r="AG132" s="111">
        <f>(Datasheet!AP132*1000)/Datasheet!E132</f>
        <v>644.60842512198349</v>
      </c>
      <c r="AH132" s="119">
        <f>Datasheet!BW132/SUM(Datasheet!$BW132:$BZ132)</f>
        <v>0.7009345794392523</v>
      </c>
      <c r="AI132" s="119">
        <f>Datasheet!BX132/SUM(Datasheet!$BW132:$BZ132)</f>
        <v>9.657320872274143E-2</v>
      </c>
      <c r="AJ132" s="119">
        <f>Datasheet!BY132/SUM(Datasheet!$BW132:$BZ132)</f>
        <v>5.2959501557632398E-2</v>
      </c>
      <c r="AK132" s="119">
        <f>Datasheet!BZ132/SUM(Datasheet!$BW132:$BZ132)</f>
        <v>0.14953271028037382</v>
      </c>
      <c r="AL132" s="31">
        <f>Datasheet!BR132+Datasheet!BS132</f>
        <v>46</v>
      </c>
      <c r="AM132" s="31">
        <f>100-Datasheet!BV132</f>
        <v>49</v>
      </c>
      <c r="AN132" s="121">
        <f>(Datasheet!CL132-Datasheet!CK132)/Datasheet!CK132</f>
        <v>-2.6086956521739129E-2</v>
      </c>
    </row>
    <row r="133" spans="1:40">
      <c r="A133" s="42" t="s">
        <v>467</v>
      </c>
      <c r="B133" s="42" t="s">
        <v>468</v>
      </c>
      <c r="C133" s="42" t="s">
        <v>469</v>
      </c>
      <c r="D133" s="116">
        <f>Datasheet!G133/Datasheet!E133</f>
        <v>0.7961056414684724</v>
      </c>
      <c r="E133" s="116">
        <f>Datasheet!I133/Datasheet!E133</f>
        <v>0.20389435853152765</v>
      </c>
      <c r="F133" s="116">
        <f>(Datasheet!E133-Datasheet!D133)/Datasheet!D133</f>
        <v>6.0655705983655724E-2</v>
      </c>
      <c r="G133" s="116">
        <f>(Datasheet!G133-Datasheet!F133)/Datasheet!F133</f>
        <v>4.6633781309711304E-2</v>
      </c>
      <c r="H133" s="116">
        <f>(Datasheet!I133-Datasheet!H133)/Datasheet!H133</f>
        <v>0.11920021363241871</v>
      </c>
      <c r="I133" s="116">
        <f>(Datasheet!K133-Datasheet!J133)/Datasheet!J133</f>
        <v>0.1062937062937063</v>
      </c>
      <c r="J133" s="116">
        <f>Datasheet!F133/Datasheet!D133</f>
        <v>0.80677119950464071</v>
      </c>
      <c r="K133" s="116">
        <f>Datasheet!H133/Datasheet!D133</f>
        <v>0.19322880049535923</v>
      </c>
      <c r="L133" s="116">
        <f>Datasheet!R133/Datasheet!Q133</f>
        <v>0.8110236220472441</v>
      </c>
      <c r="M133" s="117">
        <f>(Datasheet!AB133-Datasheet!AA133)/Datasheet!AA133</f>
        <v>7.1987480438184662E-2</v>
      </c>
      <c r="N133" s="118">
        <f>Datasheet!AC133/Datasheet!E133</f>
        <v>1.6419063140419476E-2</v>
      </c>
      <c r="O133" s="111">
        <f>SUM(Datasheet!AD133:AG133)</f>
        <v>840</v>
      </c>
      <c r="P133" s="111">
        <f>SUM(Datasheet!AH133:AK133)</f>
        <v>1290</v>
      </c>
      <c r="Q133" s="111">
        <f t="shared" si="1"/>
        <v>2130</v>
      </c>
      <c r="R133" s="118">
        <f>Q133/Datasheet!AC133</f>
        <v>0.78888888888888886</v>
      </c>
      <c r="S133" s="118">
        <f>Datasheet!AL133/Datasheet!G133</f>
        <v>7.4858303924713937E-3</v>
      </c>
      <c r="T133" s="118">
        <f>Datasheet!AM133/Datasheet!I133</f>
        <v>5.1298875600226668E-2</v>
      </c>
      <c r="U133" s="119">
        <f>O133/Datasheet!AL133</f>
        <v>0.8571428571428571</v>
      </c>
      <c r="V133" s="119">
        <f>P133/Datasheet!AM133</f>
        <v>0.75</v>
      </c>
      <c r="W133" s="120">
        <f>((Datasheet!AP133-Datasheet!AO133)/Datasheet!AO133)*100</f>
        <v>7.2915586802250516</v>
      </c>
      <c r="X133" s="119">
        <f>Datasheet!AQ133/Datasheet!AR133</f>
        <v>0.48677408281930995</v>
      </c>
      <c r="Y133" s="111">
        <f>Datasheet!AV133+Datasheet!AS133</f>
        <v>38305</v>
      </c>
      <c r="Z133" s="117">
        <f>Datasheet!AW133/(Datasheet!AS133+Datasheet!AV133)</f>
        <v>0.64417177914110424</v>
      </c>
      <c r="AA133" s="111">
        <f>Datasheet!AX133+Datasheet!AT133</f>
        <v>37633</v>
      </c>
      <c r="AB133" s="119">
        <f>Datasheet!AY133/(Datasheet!AT133+Datasheet!AX133)</f>
        <v>0.79355884463104187</v>
      </c>
      <c r="AC133" s="119">
        <f>Datasheet!AU133/(Datasheet!AU133+Datasheet!AZ133)</f>
        <v>0.96407360420338828</v>
      </c>
      <c r="AD133" s="119">
        <f>Datasheet!AZ133/(Datasheet!AU133+Datasheet!AZ133)</f>
        <v>3.5926395796611693E-2</v>
      </c>
      <c r="AE133" s="117">
        <f>(Datasheet!BB133-Datasheet!BA133)/Datasheet!BA133</f>
        <v>0.44338032733754656</v>
      </c>
      <c r="AF133" s="118">
        <f>(Datasheet!AX133+Datasheet!AT133)/Datasheet!BB133</f>
        <v>0.42250564156683995</v>
      </c>
      <c r="AG133" s="111">
        <f>(Datasheet!AP133*1000)/Datasheet!E133</f>
        <v>692.31283788303551</v>
      </c>
      <c r="AH133" s="119">
        <f>Datasheet!BW133/SUM(Datasheet!$BW133:$BZ133)</f>
        <v>0.78846153846153844</v>
      </c>
      <c r="AI133" s="119">
        <f>Datasheet!BX133/SUM(Datasheet!$BW133:$BZ133)</f>
        <v>8.1730769230769232E-2</v>
      </c>
      <c r="AJ133" s="119">
        <f>Datasheet!BY133/SUM(Datasheet!$BW133:$BZ133)</f>
        <v>3.3653846153846152E-2</v>
      </c>
      <c r="AK133" s="119">
        <f>Datasheet!BZ133/SUM(Datasheet!$BW133:$BZ133)</f>
        <v>9.6153846153846159E-2</v>
      </c>
      <c r="AL133" s="31">
        <f>Datasheet!BR133+Datasheet!BS133</f>
        <v>47</v>
      </c>
      <c r="AM133" s="31">
        <f>100-Datasheet!BV133</f>
        <v>69</v>
      </c>
      <c r="AN133" s="121">
        <f>(Datasheet!CL133-Datasheet!CK133)/Datasheet!CK133</f>
        <v>-0.26785714285714285</v>
      </c>
    </row>
    <row r="134" spans="1:40">
      <c r="A134" s="42" t="s">
        <v>470</v>
      </c>
      <c r="B134" s="42" t="s">
        <v>471</v>
      </c>
      <c r="C134" s="42" t="s">
        <v>472</v>
      </c>
      <c r="D134" s="116">
        <f>Datasheet!G134/Datasheet!E134</f>
        <v>0.78617820915128078</v>
      </c>
      <c r="E134" s="116">
        <f>Datasheet!I134/Datasheet!E134</f>
        <v>0.21382179084871925</v>
      </c>
      <c r="F134" s="116">
        <f>(Datasheet!E134-Datasheet!D134)/Datasheet!D134</f>
        <v>0.1122113550586421</v>
      </c>
      <c r="G134" s="116">
        <f>(Datasheet!G134-Datasheet!F134)/Datasheet!F134</f>
        <v>8.0928832509137821E-2</v>
      </c>
      <c r="H134" s="116">
        <f>(Datasheet!I134-Datasheet!H134)/Datasheet!H134</f>
        <v>0.24465212246260279</v>
      </c>
      <c r="I134" s="116">
        <f>(Datasheet!K134-Datasheet!J134)/Datasheet!J134</f>
        <v>0.20493884144934227</v>
      </c>
      <c r="J134" s="116">
        <f>Datasheet!F134/Datasheet!D134</f>
        <v>0.80893052809776966</v>
      </c>
      <c r="K134" s="116">
        <f>Datasheet!H134/Datasheet!D134</f>
        <v>0.19106947190223031</v>
      </c>
      <c r="L134" s="116">
        <f>Datasheet!R134/Datasheet!Q134</f>
        <v>0.88111888111888115</v>
      </c>
      <c r="M134" s="117">
        <f>(Datasheet!AB134-Datasheet!AA134)/Datasheet!AA134</f>
        <v>-1.5503875968992248E-3</v>
      </c>
      <c r="N134" s="118">
        <f>Datasheet!AC134/Datasheet!E134</f>
        <v>1.5272985060622805E-2</v>
      </c>
      <c r="O134" s="111">
        <f>SUM(Datasheet!AD134:AG134)</f>
        <v>960</v>
      </c>
      <c r="P134" s="111">
        <f>SUM(Datasheet!AH134:AK134)</f>
        <v>990</v>
      </c>
      <c r="Q134" s="111">
        <f t="shared" si="1"/>
        <v>1950</v>
      </c>
      <c r="R134" s="118">
        <f>Q134/Datasheet!AC134</f>
        <v>0.66552901023890787</v>
      </c>
      <c r="S134" s="118">
        <f>Datasheet!AL134/Datasheet!G134</f>
        <v>7.5917306493747594E-3</v>
      </c>
      <c r="T134" s="118">
        <f>Datasheet!AM134/Datasheet!I134</f>
        <v>4.3515358361774746E-2</v>
      </c>
      <c r="U134" s="119">
        <f>O134/Datasheet!AL134</f>
        <v>0.83842794759825323</v>
      </c>
      <c r="V134" s="119">
        <f>P134/Datasheet!AM134</f>
        <v>0.55462184873949583</v>
      </c>
      <c r="W134" s="120">
        <f>((Datasheet!AP134-Datasheet!AO134)/Datasheet!AO134)*100</f>
        <v>5.5000970034744885</v>
      </c>
      <c r="X134" s="119">
        <f>Datasheet!AQ134/Datasheet!AR134</f>
        <v>0.50777189381432697</v>
      </c>
      <c r="Y134" s="111">
        <f>Datasheet!AV134+Datasheet!AS134</f>
        <v>54406</v>
      </c>
      <c r="Z134" s="117">
        <f>Datasheet!AW134/(Datasheet!AS134+Datasheet!AV134)</f>
        <v>0.75306032422894531</v>
      </c>
      <c r="AA134" s="111">
        <f>Datasheet!AX134+Datasheet!AT134</f>
        <v>45857</v>
      </c>
      <c r="AB134" s="119">
        <f>Datasheet!AY134/(Datasheet!AT134+Datasheet!AX134)</f>
        <v>0.60346293913688209</v>
      </c>
      <c r="AC134" s="119">
        <f>Datasheet!AU134/(Datasheet!AU134+Datasheet!AZ134)</f>
        <v>0.98173347778981579</v>
      </c>
      <c r="AD134" s="119">
        <f>Datasheet!AZ134/(Datasheet!AU134+Datasheet!AZ134)</f>
        <v>1.8266522210184183E-2</v>
      </c>
      <c r="AE134" s="117">
        <f>(Datasheet!BB134-Datasheet!BA134)/Datasheet!BA134</f>
        <v>6.7916232789540662E-2</v>
      </c>
      <c r="AF134" s="118">
        <f>(Datasheet!AX134+Datasheet!AT134)/Datasheet!BB134</f>
        <v>0.49682556879739981</v>
      </c>
      <c r="AG134" s="111">
        <f>(Datasheet!AP134*1000)/Datasheet!E134</f>
        <v>623.61213915618066</v>
      </c>
      <c r="AH134" s="119">
        <f>Datasheet!BW134/SUM(Datasheet!$BW134:$BZ134)</f>
        <v>0.73913043478260865</v>
      </c>
      <c r="AI134" s="119">
        <f>Datasheet!BX134/SUM(Datasheet!$BW134:$BZ134)</f>
        <v>7.6086956521739135E-2</v>
      </c>
      <c r="AJ134" s="119">
        <f>Datasheet!BY134/SUM(Datasheet!$BW134:$BZ134)</f>
        <v>5.434782608695652E-2</v>
      </c>
      <c r="AK134" s="119">
        <f>Datasheet!BZ134/SUM(Datasheet!$BW134:$BZ134)</f>
        <v>0.13043478260869565</v>
      </c>
      <c r="AL134" s="31">
        <f>Datasheet!BR134+Datasheet!BS134</f>
        <v>42</v>
      </c>
      <c r="AM134" s="31">
        <f>100-Datasheet!BV134</f>
        <v>42</v>
      </c>
      <c r="AN134" s="121">
        <f>(Datasheet!CL134-Datasheet!CK134)/Datasheet!CK134</f>
        <v>-2.8735632183908046E-3</v>
      </c>
    </row>
    <row r="135" spans="1:40">
      <c r="A135" s="42" t="s">
        <v>473</v>
      </c>
      <c r="B135" s="42" t="s">
        <v>474</v>
      </c>
      <c r="C135" s="42" t="s">
        <v>475</v>
      </c>
      <c r="D135" s="116">
        <f>Datasheet!G135/Datasheet!E135</f>
        <v>0.77314952437574314</v>
      </c>
      <c r="E135" s="116">
        <f>Datasheet!I135/Datasheet!E135</f>
        <v>0.22685047562425684</v>
      </c>
      <c r="F135" s="116">
        <f>(Datasheet!E135-Datasheet!D135)/Datasheet!D135</f>
        <v>8.0778410134018722E-2</v>
      </c>
      <c r="G135" s="116">
        <f>(Datasheet!G135-Datasheet!F135)/Datasheet!F135</f>
        <v>7.2131026867868972E-2</v>
      </c>
      <c r="H135" s="116">
        <f>(Datasheet!I135-Datasheet!H135)/Datasheet!H135</f>
        <v>0.11132782025276955</v>
      </c>
      <c r="I135" s="116">
        <f>(Datasheet!K135-Datasheet!J135)/Datasheet!J135</f>
        <v>0.12876840383267119</v>
      </c>
      <c r="J135" s="116">
        <f>Datasheet!F135/Datasheet!D135</f>
        <v>0.77938544152744627</v>
      </c>
      <c r="K135" s="116">
        <f>Datasheet!H135/Datasheet!D135</f>
        <v>0.22061455847255371</v>
      </c>
      <c r="L135" s="116">
        <f>Datasheet!R135/Datasheet!Q135</f>
        <v>0.86363636363636365</v>
      </c>
      <c r="M135" s="117">
        <f>(Datasheet!AB135-Datasheet!AA135)/Datasheet!AA135</f>
        <v>-7.2131147540983612E-2</v>
      </c>
      <c r="N135" s="118">
        <f>Datasheet!AC135/Datasheet!E135</f>
        <v>2.1737514863258027E-2</v>
      </c>
      <c r="O135" s="111">
        <f>SUM(Datasheet!AD135:AG135)</f>
        <v>1125</v>
      </c>
      <c r="P135" s="111">
        <f>SUM(Datasheet!AH135:AK135)</f>
        <v>1805</v>
      </c>
      <c r="Q135" s="111">
        <f t="shared" si="1"/>
        <v>2930</v>
      </c>
      <c r="R135" s="118">
        <f>Q135/Datasheet!AC135</f>
        <v>0.71550671550671552</v>
      </c>
      <c r="S135" s="118">
        <f>Datasheet!AL135/Datasheet!G135</f>
        <v>8.6166056752878493E-3</v>
      </c>
      <c r="T135" s="118">
        <f>Datasheet!AM135/Datasheet!I135</f>
        <v>6.6456066456066457E-2</v>
      </c>
      <c r="U135" s="119">
        <f>O135/Datasheet!AL135</f>
        <v>0.89641434262948205</v>
      </c>
      <c r="V135" s="119">
        <f>P135/Datasheet!AM135</f>
        <v>0.63556338028169013</v>
      </c>
      <c r="W135" s="120">
        <f>((Datasheet!AP135-Datasheet!AO135)/Datasheet!AO135)*100</f>
        <v>13.76063555893387</v>
      </c>
      <c r="X135" s="119">
        <f>Datasheet!AQ135/Datasheet!AR135</f>
        <v>0.42369973230610963</v>
      </c>
      <c r="Y135" s="111">
        <f>Datasheet!AV135+Datasheet!AS135</f>
        <v>57726</v>
      </c>
      <c r="Z135" s="117">
        <f>Datasheet!AW135/(Datasheet!AS135+Datasheet!AV135)</f>
        <v>0.62637286491355715</v>
      </c>
      <c r="AA135" s="111">
        <f>Datasheet!AX135+Datasheet!AT135</f>
        <v>61189</v>
      </c>
      <c r="AB135" s="119">
        <f>Datasheet!AY135/(Datasheet!AT135+Datasheet!AX135)</f>
        <v>0.5024759352171142</v>
      </c>
      <c r="AC135" s="119">
        <f>Datasheet!AU135/(Datasheet!AU135+Datasheet!AZ135)</f>
        <v>0.95059444926444647</v>
      </c>
      <c r="AD135" s="119">
        <f>Datasheet!AZ135/(Datasheet!AU135+Datasheet!AZ135)</f>
        <v>4.94055507355535E-2</v>
      </c>
      <c r="AE135" s="117">
        <f>(Datasheet!BB135-Datasheet!BA135)/Datasheet!BA135</f>
        <v>6.4464403511442628E-2</v>
      </c>
      <c r="AF135" s="118">
        <f>(Datasheet!AX135+Datasheet!AT135)/Datasheet!BB135</f>
        <v>0.58338020917749578</v>
      </c>
      <c r="AG135" s="111">
        <f>(Datasheet!AP135*1000)/Datasheet!E135</f>
        <v>738.83663156106672</v>
      </c>
      <c r="AH135" s="119">
        <f>Datasheet!BW135/SUM(Datasheet!$BW135:$BZ135)</f>
        <v>0.71957671957671954</v>
      </c>
      <c r="AI135" s="119">
        <f>Datasheet!BX135/SUM(Datasheet!$BW135:$BZ135)</f>
        <v>8.4656084656084651E-2</v>
      </c>
      <c r="AJ135" s="119">
        <f>Datasheet!BY135/SUM(Datasheet!$BW135:$BZ135)</f>
        <v>3.7037037037037035E-2</v>
      </c>
      <c r="AK135" s="119">
        <f>Datasheet!BZ135/SUM(Datasheet!$BW135:$BZ135)</f>
        <v>0.15873015873015872</v>
      </c>
      <c r="AL135" s="31">
        <f>Datasheet!BR135+Datasheet!BS135</f>
        <v>16</v>
      </c>
      <c r="AM135" s="31">
        <f>100-Datasheet!BV135</f>
        <v>23</v>
      </c>
      <c r="AN135" s="121">
        <f>(Datasheet!CL135-Datasheet!CK135)/Datasheet!CK135</f>
        <v>0.29850746268656714</v>
      </c>
    </row>
    <row r="136" spans="1:40">
      <c r="A136" s="42" t="s">
        <v>476</v>
      </c>
      <c r="B136" s="42" t="s">
        <v>477</v>
      </c>
      <c r="C136" s="42" t="s">
        <v>478</v>
      </c>
      <c r="D136" s="116">
        <f>Datasheet!G136/Datasheet!E136</f>
        <v>0.76850360212905799</v>
      </c>
      <c r="E136" s="116">
        <f>Datasheet!I136/Datasheet!E136</f>
        <v>0.23149639787094198</v>
      </c>
      <c r="F136" s="116">
        <f>(Datasheet!E136-Datasheet!D136)/Datasheet!D136</f>
        <v>0.15963623592357068</v>
      </c>
      <c r="G136" s="116">
        <f>(Datasheet!G136-Datasheet!F136)/Datasheet!F136</f>
        <v>0.13015749673066354</v>
      </c>
      <c r="H136" s="116">
        <f>(Datasheet!I136-Datasheet!H136)/Datasheet!H136</f>
        <v>0.26956921228398772</v>
      </c>
      <c r="I136" s="116">
        <f>(Datasheet!K136-Datasheet!J136)/Datasheet!J136</f>
        <v>0.42209536601746139</v>
      </c>
      <c r="J136" s="116">
        <f>Datasheet!F136/Datasheet!D136</f>
        <v>0.78854905360065164</v>
      </c>
      <c r="K136" s="116">
        <f>Datasheet!H136/Datasheet!D136</f>
        <v>0.21145094639934839</v>
      </c>
      <c r="L136" s="116">
        <f>Datasheet!R136/Datasheet!Q136</f>
        <v>0.89344262295081966</v>
      </c>
      <c r="M136" s="117">
        <f>(Datasheet!AB136-Datasheet!AA136)/Datasheet!AA136</f>
        <v>3.7558685446009391E-2</v>
      </c>
      <c r="N136" s="118">
        <f>Datasheet!AC136/Datasheet!E136</f>
        <v>1.7849548283994689E-2</v>
      </c>
      <c r="O136" s="111">
        <f>SUM(Datasheet!AD136:AG136)</f>
        <v>870</v>
      </c>
      <c r="P136" s="111">
        <f>SUM(Datasheet!AH136:AK136)</f>
        <v>1105</v>
      </c>
      <c r="Q136" s="111">
        <f t="shared" ref="Q136:Q159" si="2">O136+P136</f>
        <v>1975</v>
      </c>
      <c r="R136" s="118">
        <f>Q136/Datasheet!AC136</f>
        <v>0.71299638989169678</v>
      </c>
      <c r="S136" s="118">
        <f>Datasheet!AL136/Datasheet!G136</f>
        <v>8.2591962167011847E-3</v>
      </c>
      <c r="T136" s="118">
        <f>Datasheet!AM136/Datasheet!I136</f>
        <v>4.9686847599164925E-2</v>
      </c>
      <c r="U136" s="119">
        <f>O136/Datasheet!AL136</f>
        <v>0.88324873096446699</v>
      </c>
      <c r="V136" s="119">
        <f>P136/Datasheet!AM136</f>
        <v>0.61904761904761907</v>
      </c>
      <c r="W136" s="120">
        <f>((Datasheet!AP136-Datasheet!AO136)/Datasheet!AO136)*100</f>
        <v>14.430581666951516</v>
      </c>
      <c r="X136" s="119">
        <f>Datasheet!AQ136/Datasheet!AR136</f>
        <v>0.55439358737311939</v>
      </c>
      <c r="Y136" s="111">
        <f>Datasheet!AV136+Datasheet!AS136</f>
        <v>51894</v>
      </c>
      <c r="Z136" s="117">
        <f>Datasheet!AW136/(Datasheet!AS136+Datasheet!AV136)</f>
        <v>0.6450456700196554</v>
      </c>
      <c r="AA136" s="111">
        <f>Datasheet!AX136+Datasheet!AT136</f>
        <v>54560</v>
      </c>
      <c r="AB136" s="119">
        <f>Datasheet!AY136/(Datasheet!AT136+Datasheet!AX136)</f>
        <v>0.62358870967741931</v>
      </c>
      <c r="AC136" s="119">
        <f>Datasheet!AU136/(Datasheet!AU136+Datasheet!AZ136)</f>
        <v>0.96697692625535525</v>
      </c>
      <c r="AD136" s="119">
        <f>Datasheet!AZ136/(Datasheet!AU136+Datasheet!AZ136)</f>
        <v>3.3023073744644763E-2</v>
      </c>
      <c r="AE136" s="117">
        <f>(Datasheet!BB136-Datasheet!BA136)/Datasheet!BA136</f>
        <v>7.992015030530765E-2</v>
      </c>
      <c r="AF136" s="118">
        <f>(Datasheet!AX136+Datasheet!AT136)/Datasheet!BB136</f>
        <v>0.5932627275297393</v>
      </c>
      <c r="AG136" s="111">
        <f>(Datasheet!AP136*1000)/Datasheet!E136</f>
        <v>776.59067183895456</v>
      </c>
      <c r="AH136" s="119">
        <f>Datasheet!BW136/SUM(Datasheet!$BW136:$BZ136)</f>
        <v>0.78602620087336239</v>
      </c>
      <c r="AI136" s="119">
        <f>Datasheet!BX136/SUM(Datasheet!$BW136:$BZ136)</f>
        <v>6.5502183406113537E-2</v>
      </c>
      <c r="AJ136" s="119">
        <f>Datasheet!BY136/SUM(Datasheet!$BW136:$BZ136)</f>
        <v>4.3668122270742356E-2</v>
      </c>
      <c r="AK136" s="119">
        <f>Datasheet!BZ136/SUM(Datasheet!$BW136:$BZ136)</f>
        <v>0.10480349344978165</v>
      </c>
      <c r="AL136" s="31">
        <f>Datasheet!BR136+Datasheet!BS136</f>
        <v>34</v>
      </c>
      <c r="AM136" s="31">
        <f>100-Datasheet!BV136</f>
        <v>26</v>
      </c>
      <c r="AN136" s="121">
        <f>(Datasheet!CL136-Datasheet!CK136)/Datasheet!CK136</f>
        <v>0.32173913043478258</v>
      </c>
    </row>
    <row r="137" spans="1:40">
      <c r="A137" s="42" t="s">
        <v>479</v>
      </c>
      <c r="B137" s="42" t="s">
        <v>480</v>
      </c>
      <c r="C137" s="42" t="s">
        <v>481</v>
      </c>
      <c r="D137" s="116">
        <f>Datasheet!G137/Datasheet!E137</f>
        <v>0.81790193591895677</v>
      </c>
      <c r="E137" s="116">
        <f>Datasheet!I137/Datasheet!E137</f>
        <v>0.18209806408104323</v>
      </c>
      <c r="F137" s="116">
        <f>(Datasheet!E137-Datasheet!D137)/Datasheet!D137</f>
        <v>8.545444418806343E-2</v>
      </c>
      <c r="G137" s="116">
        <f>(Datasheet!G137-Datasheet!F137)/Datasheet!F137</f>
        <v>8.5430508672432071E-2</v>
      </c>
      <c r="H137" s="116">
        <f>(Datasheet!I137-Datasheet!H137)/Datasheet!H137</f>
        <v>8.5561964691487497E-2</v>
      </c>
      <c r="I137" s="116">
        <f>(Datasheet!K137-Datasheet!J137)/Datasheet!J137</f>
        <v>6.2611170401992169E-2</v>
      </c>
      <c r="J137" s="116">
        <f>Datasheet!F137/Datasheet!D137</f>
        <v>0.81791997199258437</v>
      </c>
      <c r="K137" s="116">
        <f>Datasheet!H137/Datasheet!D137</f>
        <v>0.1820800280074156</v>
      </c>
      <c r="L137" s="116">
        <f>Datasheet!R137/Datasheet!Q137</f>
        <v>0.91111111111111109</v>
      </c>
      <c r="M137" s="117">
        <f>(Datasheet!AB137-Datasheet!AA137)/Datasheet!AA137</f>
        <v>-7.1428571428571425E-2</v>
      </c>
      <c r="N137" s="118">
        <f>Datasheet!AC137/Datasheet!E137</f>
        <v>2.0048233043299786E-2</v>
      </c>
      <c r="O137" s="111">
        <f>SUM(Datasheet!AD137:AG137)</f>
        <v>720</v>
      </c>
      <c r="P137" s="111">
        <f>SUM(Datasheet!AH137:AK137)</f>
        <v>1315</v>
      </c>
      <c r="Q137" s="111">
        <f t="shared" si="2"/>
        <v>2035</v>
      </c>
      <c r="R137" s="118">
        <f>Q137/Datasheet!AC137</f>
        <v>0.74405850091407677</v>
      </c>
      <c r="S137" s="118">
        <f>Datasheet!AL137/Datasheet!G137</f>
        <v>7.6179209349429549E-3</v>
      </c>
      <c r="T137" s="118">
        <f>Datasheet!AM137/Datasheet!I137</f>
        <v>7.5879558811689882E-2</v>
      </c>
      <c r="U137" s="119">
        <f>O137/Datasheet!AL137</f>
        <v>0.84705882352941175</v>
      </c>
      <c r="V137" s="119">
        <f>P137/Datasheet!AM137</f>
        <v>0.69761273209549068</v>
      </c>
      <c r="W137" s="120">
        <f>((Datasheet!AP137-Datasheet!AO137)/Datasheet!AO137)*100</f>
        <v>38.624102325913753</v>
      </c>
      <c r="X137" s="119">
        <f>Datasheet!AQ137/Datasheet!AR137</f>
        <v>0.51591779478489719</v>
      </c>
      <c r="Y137" s="111">
        <f>Datasheet!AV137+Datasheet!AS137</f>
        <v>32985</v>
      </c>
      <c r="Z137" s="117">
        <f>Datasheet!AW137/(Datasheet!AS137+Datasheet!AV137)</f>
        <v>0.57301803850234956</v>
      </c>
      <c r="AA137" s="111">
        <f>Datasheet!AX137+Datasheet!AT137</f>
        <v>26381</v>
      </c>
      <c r="AB137" s="119">
        <f>Datasheet!AY137/(Datasheet!AT137+Datasheet!AX137)</f>
        <v>0.68075508888973124</v>
      </c>
      <c r="AC137" s="119">
        <f>Datasheet!AU137/(Datasheet!AU137+Datasheet!AZ137)</f>
        <v>0.95199465369693148</v>
      </c>
      <c r="AD137" s="119">
        <f>Datasheet!AZ137/(Datasheet!AU137+Datasheet!AZ137)</f>
        <v>4.8005346303068554E-2</v>
      </c>
      <c r="AE137" s="117">
        <f>(Datasheet!BB137-Datasheet!BA137)/Datasheet!BA137</f>
        <v>-3.0592596591624825E-2</v>
      </c>
      <c r="AF137" s="118">
        <f>(Datasheet!AX137+Datasheet!AT137)/Datasheet!BB137</f>
        <v>0.48972507379012048</v>
      </c>
      <c r="AG137" s="111">
        <f>(Datasheet!AP137*1000)/Datasheet!E137</f>
        <v>568.82004969909326</v>
      </c>
      <c r="AH137" s="119">
        <f>Datasheet!BW137/SUM(Datasheet!$BW137:$BZ137)</f>
        <v>0.7567567567567568</v>
      </c>
      <c r="AI137" s="119">
        <f>Datasheet!BX137/SUM(Datasheet!$BW137:$BZ137)</f>
        <v>8.7837837837837843E-2</v>
      </c>
      <c r="AJ137" s="119">
        <f>Datasheet!BY137/SUM(Datasheet!$BW137:$BZ137)</f>
        <v>3.3783783783783786E-2</v>
      </c>
      <c r="AK137" s="119">
        <f>Datasheet!BZ137/SUM(Datasheet!$BW137:$BZ137)</f>
        <v>0.12162162162162163</v>
      </c>
      <c r="AL137" s="31">
        <f>Datasheet!BR137+Datasheet!BS137</f>
        <v>36</v>
      </c>
      <c r="AM137" s="31">
        <f>100-Datasheet!BV137</f>
        <v>51</v>
      </c>
      <c r="AN137" s="121">
        <f>(Datasheet!CL137-Datasheet!CK137)/Datasheet!CK137</f>
        <v>-0.28873239436619719</v>
      </c>
    </row>
    <row r="138" spans="1:40">
      <c r="A138" s="42" t="s">
        <v>482</v>
      </c>
      <c r="B138" s="42" t="s">
        <v>483</v>
      </c>
      <c r="C138" s="42" t="s">
        <v>484</v>
      </c>
      <c r="D138" s="116">
        <f>Datasheet!G138/Datasheet!E138</f>
        <v>0.66265864484360915</v>
      </c>
      <c r="E138" s="116">
        <f>Datasheet!I138/Datasheet!E138</f>
        <v>0.33734135515639085</v>
      </c>
      <c r="F138" s="116">
        <f>(Datasheet!E138-Datasheet!D138)/Datasheet!D138</f>
        <v>5.2241733181299883E-2</v>
      </c>
      <c r="G138" s="116">
        <f>(Datasheet!G138-Datasheet!F138)/Datasheet!F138</f>
        <v>1.4264104877660421E-2</v>
      </c>
      <c r="H138" s="116">
        <f>(Datasheet!I138-Datasheet!H138)/Datasheet!H138</f>
        <v>0.13578120895478824</v>
      </c>
      <c r="I138" s="116">
        <f>(Datasheet!K138-Datasheet!J138)/Datasheet!J138</f>
        <v>0.14013384708983978</v>
      </c>
      <c r="J138" s="116">
        <f>Datasheet!F138/Datasheet!D138</f>
        <v>0.68747092360319273</v>
      </c>
      <c r="K138" s="116">
        <f>Datasheet!H138/Datasheet!D138</f>
        <v>0.31252907639680727</v>
      </c>
      <c r="L138" s="116">
        <f>Datasheet!R138/Datasheet!Q138</f>
        <v>0.87401574803149606</v>
      </c>
      <c r="M138" s="117">
        <f>(Datasheet!AB138-Datasheet!AA138)/Datasheet!AA138</f>
        <v>-1.3793103448275862E-2</v>
      </c>
      <c r="N138" s="118">
        <f>Datasheet!AC138/Datasheet!E138</f>
        <v>3.233580692142312E-2</v>
      </c>
      <c r="O138" s="111">
        <f>SUM(Datasheet!AD138:AG138)</f>
        <v>1145</v>
      </c>
      <c r="P138" s="111">
        <f>SUM(Datasheet!AH138:AK138)</f>
        <v>1480</v>
      </c>
      <c r="Q138" s="111">
        <f t="shared" si="2"/>
        <v>2625</v>
      </c>
      <c r="R138" s="118">
        <f>Q138/Datasheet!AC138</f>
        <v>0.70375335120643434</v>
      </c>
      <c r="S138" s="118">
        <f>Datasheet!AL138/Datasheet!G138</f>
        <v>1.7072436845066E-2</v>
      </c>
      <c r="T138" s="118">
        <f>Datasheet!AM138/Datasheet!I138</f>
        <v>6.2318505383804901E-2</v>
      </c>
      <c r="U138" s="119">
        <f>O138/Datasheet!AL138</f>
        <v>0.87739463601532564</v>
      </c>
      <c r="V138" s="119">
        <f>P138/Datasheet!AM138</f>
        <v>0.61030927835051552</v>
      </c>
      <c r="W138" s="120">
        <f>((Datasheet!AP138-Datasheet!AO138)/Datasheet!AO138)*100</f>
        <v>2.5400262093328014</v>
      </c>
      <c r="X138" s="119">
        <f>Datasheet!AQ138/Datasheet!AR138</f>
        <v>0.52239355546538013</v>
      </c>
      <c r="Y138" s="111">
        <f>Datasheet!AV138+Datasheet!AS138</f>
        <v>34622</v>
      </c>
      <c r="Z138" s="117">
        <f>Datasheet!AW138/(Datasheet!AS138+Datasheet!AV138)</f>
        <v>0.59779908728554099</v>
      </c>
      <c r="AA138" s="111">
        <f>Datasheet!AX138+Datasheet!AT138</f>
        <v>47205</v>
      </c>
      <c r="AB138" s="119">
        <f>Datasheet!AY138/(Datasheet!AT138+Datasheet!AX138)</f>
        <v>0.64391483952971085</v>
      </c>
      <c r="AC138" s="119">
        <f>Datasheet!AU138/(Datasheet!AU138+Datasheet!AZ138)</f>
        <v>0.93979423662787798</v>
      </c>
      <c r="AD138" s="119">
        <f>Datasheet!AZ138/(Datasheet!AU138+Datasheet!AZ138)</f>
        <v>6.0205763372122058E-2</v>
      </c>
      <c r="AE138" s="117">
        <f>(Datasheet!BB138-Datasheet!BA138)/Datasheet!BA138</f>
        <v>9.4018494993784923E-2</v>
      </c>
      <c r="AF138" s="118">
        <f>(Datasheet!AX138+Datasheet!AT138)/Datasheet!BB138</f>
        <v>0.58938470758627581</v>
      </c>
      <c r="AG138" s="111">
        <f>(Datasheet!AP138*1000)/Datasheet!E138</f>
        <v>780.08183646577436</v>
      </c>
      <c r="AH138" s="119">
        <f>Datasheet!BW138/SUM(Datasheet!$BW138:$BZ138)</f>
        <v>0.75</v>
      </c>
      <c r="AI138" s="119">
        <f>Datasheet!BX138/SUM(Datasheet!$BW138:$BZ138)</f>
        <v>7.3863636363636367E-2</v>
      </c>
      <c r="AJ138" s="119">
        <f>Datasheet!BY138/SUM(Datasheet!$BW138:$BZ138)</f>
        <v>2.8409090909090908E-2</v>
      </c>
      <c r="AK138" s="119">
        <f>Datasheet!BZ138/SUM(Datasheet!$BW138:$BZ138)</f>
        <v>0.14772727272727273</v>
      </c>
      <c r="AL138" s="31">
        <f>Datasheet!BR138+Datasheet!BS138</f>
        <v>28</v>
      </c>
      <c r="AM138" s="31">
        <f>100-Datasheet!BV138</f>
        <v>21</v>
      </c>
      <c r="AN138" s="121">
        <f>(Datasheet!CL138-Datasheet!CK138)/Datasheet!CK138</f>
        <v>0.26691729323308272</v>
      </c>
    </row>
    <row r="139" spans="1:40">
      <c r="A139" s="42" t="s">
        <v>485</v>
      </c>
      <c r="B139" s="42" t="s">
        <v>486</v>
      </c>
      <c r="C139" s="42" t="s">
        <v>487</v>
      </c>
      <c r="D139" s="116">
        <f>Datasheet!G139/Datasheet!E139</f>
        <v>0.92592336019251098</v>
      </c>
      <c r="E139" s="116">
        <f>Datasheet!I139/Datasheet!E139</f>
        <v>7.4076639807488964E-2</v>
      </c>
      <c r="F139" s="116">
        <f>(Datasheet!E139-Datasheet!D139)/Datasheet!D139</f>
        <v>0.23569536304492783</v>
      </c>
      <c r="G139" s="116">
        <f>(Datasheet!G139-Datasheet!F139)/Datasheet!F139</f>
        <v>0.23352406302823059</v>
      </c>
      <c r="H139" s="116">
        <f>(Datasheet!I139-Datasheet!H139)/Datasheet!H139</f>
        <v>0.26349502487562187</v>
      </c>
      <c r="I139" s="116">
        <f>(Datasheet!K139-Datasheet!J139)/Datasheet!J139</f>
        <v>4.0614165428429917E-2</v>
      </c>
      <c r="J139" s="116">
        <f>Datasheet!F139/Datasheet!D139</f>
        <v>0.92755320874407543</v>
      </c>
      <c r="K139" s="116">
        <f>Datasheet!H139/Datasheet!D139</f>
        <v>7.2446791255924597E-2</v>
      </c>
      <c r="L139" s="116">
        <f>Datasheet!R139/Datasheet!Q139</f>
        <v>0.92441860465116277</v>
      </c>
      <c r="M139" s="117">
        <f>(Datasheet!AB139-Datasheet!AA139)/Datasheet!AA139</f>
        <v>0</v>
      </c>
      <c r="N139" s="118">
        <f>Datasheet!AC139/Datasheet!E139</f>
        <v>1.6352499361942611E-2</v>
      </c>
      <c r="O139" s="111">
        <f>SUM(Datasheet!AD139:AG139)</f>
        <v>2045</v>
      </c>
      <c r="P139" s="111">
        <f>SUM(Datasheet!AH139:AK139)</f>
        <v>1870</v>
      </c>
      <c r="Q139" s="111">
        <f t="shared" si="2"/>
        <v>3915</v>
      </c>
      <c r="R139" s="118">
        <f>Q139/Datasheet!AC139</f>
        <v>0.87290969899665549</v>
      </c>
      <c r="S139" s="118">
        <f>Datasheet!AL139/Datasheet!G139</f>
        <v>8.8205297830700954E-3</v>
      </c>
      <c r="T139" s="118">
        <f>Datasheet!AM139/Datasheet!I139</f>
        <v>0.11049859723384357</v>
      </c>
      <c r="U139" s="119">
        <f>O139/Datasheet!AL139</f>
        <v>0.9129464285714286</v>
      </c>
      <c r="V139" s="119">
        <f>P139/Datasheet!AM139</f>
        <v>0.83296213808463249</v>
      </c>
      <c r="W139" s="120">
        <f>((Datasheet!AP139-Datasheet!AO139)/Datasheet!AO139)*100</f>
        <v>9.4561922411359696</v>
      </c>
      <c r="X139" s="119">
        <f>Datasheet!AQ139/Datasheet!AR139</f>
        <v>0.48941379881558783</v>
      </c>
      <c r="Y139" s="111">
        <f>Datasheet!AV139+Datasheet!AS139</f>
        <v>79330</v>
      </c>
      <c r="Z139" s="117">
        <f>Datasheet!AW139/(Datasheet!AS139+Datasheet!AV139)</f>
        <v>0.48449514685490985</v>
      </c>
      <c r="AA139" s="111">
        <f>Datasheet!AX139+Datasheet!AT139</f>
        <v>75044</v>
      </c>
      <c r="AB139" s="119">
        <f>Datasheet!AY139/(Datasheet!AT139+Datasheet!AX139)</f>
        <v>0.64406215020521296</v>
      </c>
      <c r="AC139" s="119">
        <f>Datasheet!AU139/(Datasheet!AU139+Datasheet!AZ139)</f>
        <v>0.94076259808883811</v>
      </c>
      <c r="AD139" s="119">
        <f>Datasheet!AZ139/(Datasheet!AU139+Datasheet!AZ139)</f>
        <v>5.9237401911161842E-2</v>
      </c>
      <c r="AE139" s="117">
        <f>(Datasheet!BB139-Datasheet!BA139)/Datasheet!BA139</f>
        <v>0.11272927717773375</v>
      </c>
      <c r="AF139" s="118">
        <f>(Datasheet!AX139+Datasheet!AT139)/Datasheet!BB139</f>
        <v>0.53877246261316558</v>
      </c>
      <c r="AG139" s="111">
        <f>(Datasheet!AP139*1000)/Datasheet!E139</f>
        <v>650.35184307434281</v>
      </c>
      <c r="AH139" s="119">
        <f>Datasheet!BW139/SUM(Datasheet!$BW139:$BZ139)</f>
        <v>0.78832116788321172</v>
      </c>
      <c r="AI139" s="119">
        <f>Datasheet!BX139/SUM(Datasheet!$BW139:$BZ139)</f>
        <v>8.7591240875912413E-2</v>
      </c>
      <c r="AJ139" s="119">
        <f>Datasheet!BY139/SUM(Datasheet!$BW139:$BZ139)</f>
        <v>3.6496350364963501E-2</v>
      </c>
      <c r="AK139" s="119">
        <f>Datasheet!BZ139/SUM(Datasheet!$BW139:$BZ139)</f>
        <v>8.7591240875912413E-2</v>
      </c>
      <c r="AL139" s="31">
        <f>Datasheet!BR139+Datasheet!BS139</f>
        <v>37</v>
      </c>
      <c r="AM139" s="31">
        <f>100-Datasheet!BV139</f>
        <v>88</v>
      </c>
      <c r="AN139" s="121">
        <f>(Datasheet!CL139-Datasheet!CK139)/Datasheet!CK139</f>
        <v>0.10755148741418764</v>
      </c>
    </row>
    <row r="140" spans="1:40">
      <c r="A140" s="42" t="s">
        <v>488</v>
      </c>
      <c r="B140" s="42" t="s">
        <v>489</v>
      </c>
      <c r="C140" s="42" t="s">
        <v>490</v>
      </c>
      <c r="D140" s="116">
        <f>Datasheet!G140/Datasheet!E140</f>
        <v>0.76612153070716249</v>
      </c>
      <c r="E140" s="116">
        <f>Datasheet!I140/Datasheet!E140</f>
        <v>0.23387846929283751</v>
      </c>
      <c r="F140" s="116">
        <f>(Datasheet!E140-Datasheet!D140)/Datasheet!D140</f>
        <v>3.2601775841849555E-2</v>
      </c>
      <c r="G140" s="116">
        <f>(Datasheet!G140-Datasheet!F140)/Datasheet!F140</f>
        <v>1.5490928380441717E-2</v>
      </c>
      <c r="H140" s="116">
        <f>(Datasheet!I140-Datasheet!H140)/Datasheet!H140</f>
        <v>9.2926280674265213E-2</v>
      </c>
      <c r="I140" s="116">
        <f>(Datasheet!K140-Datasheet!J140)/Datasheet!J140</f>
        <v>0.1257122507122507</v>
      </c>
      <c r="J140" s="116">
        <f>Datasheet!F140/Datasheet!D140</f>
        <v>0.77903054671357574</v>
      </c>
      <c r="K140" s="116">
        <f>Datasheet!H140/Datasheet!D140</f>
        <v>0.22096945328642431</v>
      </c>
      <c r="L140" s="116">
        <f>Datasheet!R140/Datasheet!Q140</f>
        <v>0.85046728971962615</v>
      </c>
      <c r="M140" s="117">
        <f>(Datasheet!AB140-Datasheet!AA140)/Datasheet!AA140</f>
        <v>2.5748502994011976E-2</v>
      </c>
      <c r="N140" s="118">
        <f>Datasheet!AC140/Datasheet!E140</f>
        <v>2.049667942977048E-2</v>
      </c>
      <c r="O140" s="111">
        <f>SUM(Datasheet!AD140:AG140)</f>
        <v>1050</v>
      </c>
      <c r="P140" s="111">
        <f>SUM(Datasheet!AH140:AK140)</f>
        <v>1755</v>
      </c>
      <c r="Q140" s="111">
        <f t="shared" si="2"/>
        <v>2805</v>
      </c>
      <c r="R140" s="118">
        <f>Q140/Datasheet!AC140</f>
        <v>0.74010554089709768</v>
      </c>
      <c r="S140" s="118">
        <f>Datasheet!AL140/Datasheet!G140</f>
        <v>8.3296861543674383E-3</v>
      </c>
      <c r="T140" s="118">
        <f>Datasheet!AM140/Datasheet!I140</f>
        <v>6.0352402534338434E-2</v>
      </c>
      <c r="U140" s="119">
        <f>O140/Datasheet!AL140</f>
        <v>0.88983050847457623</v>
      </c>
      <c r="V140" s="119">
        <f>P140/Datasheet!AM140</f>
        <v>0.67241379310344829</v>
      </c>
      <c r="W140" s="120">
        <f>((Datasheet!AP140-Datasheet!AO140)/Datasheet!AO140)*100</f>
        <v>12.518701047258645</v>
      </c>
      <c r="X140" s="119">
        <f>Datasheet!AQ140/Datasheet!AR140</f>
        <v>0.48069859528416831</v>
      </c>
      <c r="Y140" s="111">
        <f>Datasheet!AV140+Datasheet!AS140</f>
        <v>56180</v>
      </c>
      <c r="Z140" s="117">
        <f>Datasheet!AW140/(Datasheet!AS140+Datasheet!AV140)</f>
        <v>0.56651833392666429</v>
      </c>
      <c r="AA140" s="111">
        <f>Datasheet!AX140+Datasheet!AT140</f>
        <v>59817</v>
      </c>
      <c r="AB140" s="119">
        <f>Datasheet!AY140/(Datasheet!AT140+Datasheet!AX140)</f>
        <v>0.68228095691860169</v>
      </c>
      <c r="AC140" s="119">
        <f>Datasheet!AU140/(Datasheet!AU140+Datasheet!AZ140)</f>
        <v>0.94433056108703295</v>
      </c>
      <c r="AD140" s="119">
        <f>Datasheet!AZ140/(Datasheet!AU140+Datasheet!AZ140)</f>
        <v>5.5669438912967086E-2</v>
      </c>
      <c r="AE140" s="117">
        <f>(Datasheet!BB140-Datasheet!BA140)/Datasheet!BA140</f>
        <v>8.1100475944237485E-2</v>
      </c>
      <c r="AF140" s="118">
        <f>(Datasheet!AX140+Datasheet!AT140)/Datasheet!BB140</f>
        <v>0.58389949631017923</v>
      </c>
      <c r="AG140" s="111">
        <f>(Datasheet!AP140*1000)/Datasheet!E140</f>
        <v>691.45196530166356</v>
      </c>
      <c r="AH140" s="119">
        <f>Datasheet!BW140/SUM(Datasheet!$BW140:$BZ140)</f>
        <v>0.74146341463414633</v>
      </c>
      <c r="AI140" s="119">
        <f>Datasheet!BX140/SUM(Datasheet!$BW140:$BZ140)</f>
        <v>7.3170731707317069E-2</v>
      </c>
      <c r="AJ140" s="119">
        <f>Datasheet!BY140/SUM(Datasheet!$BW140:$BZ140)</f>
        <v>4.878048780487805E-2</v>
      </c>
      <c r="AK140" s="119">
        <f>Datasheet!BZ140/SUM(Datasheet!$BW140:$BZ140)</f>
        <v>0.13658536585365855</v>
      </c>
      <c r="AL140" s="31">
        <f>Datasheet!BR140+Datasheet!BS140</f>
        <v>30</v>
      </c>
      <c r="AM140" s="31">
        <f>100-Datasheet!BV140</f>
        <v>38</v>
      </c>
      <c r="AN140" s="121">
        <f>(Datasheet!CL140-Datasheet!CK140)/Datasheet!CK140</f>
        <v>-0.23941958887545345</v>
      </c>
    </row>
    <row r="141" spans="1:40">
      <c r="A141" s="42" t="s">
        <v>491</v>
      </c>
      <c r="B141" s="42" t="s">
        <v>492</v>
      </c>
      <c r="C141" s="42" t="s">
        <v>493</v>
      </c>
      <c r="D141" s="116">
        <f>Datasheet!G141/Datasheet!E141</f>
        <v>0.75569983597594315</v>
      </c>
      <c r="E141" s="116">
        <f>Datasheet!I141/Datasheet!E141</f>
        <v>0.24430016402405685</v>
      </c>
      <c r="F141" s="116">
        <f>(Datasheet!E141-Datasheet!D141)/Datasheet!D141</f>
        <v>0.10661115459808582</v>
      </c>
      <c r="G141" s="116">
        <f>(Datasheet!G141-Datasheet!F141)/Datasheet!F141</f>
        <v>9.0822995536044587E-2</v>
      </c>
      <c r="H141" s="116">
        <f>(Datasheet!I141-Datasheet!H141)/Datasheet!H141</f>
        <v>0.15847809178117708</v>
      </c>
      <c r="I141" s="116">
        <f>(Datasheet!K141-Datasheet!J141)/Datasheet!J141</f>
        <v>0.17676696990902729</v>
      </c>
      <c r="J141" s="116">
        <f>Datasheet!F141/Datasheet!D141</f>
        <v>0.76663754930099415</v>
      </c>
      <c r="K141" s="116">
        <f>Datasheet!H141/Datasheet!D141</f>
        <v>0.23336245069900585</v>
      </c>
      <c r="L141" s="116">
        <f>Datasheet!R141/Datasheet!Q141</f>
        <v>0.86602870813397126</v>
      </c>
      <c r="M141" s="117">
        <f>(Datasheet!AB141-Datasheet!AA141)/Datasheet!AA141</f>
        <v>3.4554973821989528E-2</v>
      </c>
      <c r="N141" s="118">
        <f>Datasheet!AC141/Datasheet!E141</f>
        <v>2.050300710770913E-2</v>
      </c>
      <c r="O141" s="111">
        <f>SUM(Datasheet!AD141:AG141)</f>
        <v>1515</v>
      </c>
      <c r="P141" s="111">
        <f>SUM(Datasheet!AH141:AK141)</f>
        <v>2545</v>
      </c>
      <c r="Q141" s="111">
        <f t="shared" si="2"/>
        <v>4060</v>
      </c>
      <c r="R141" s="118">
        <f>Q141/Datasheet!AC141</f>
        <v>0.67666666666666664</v>
      </c>
      <c r="S141" s="118">
        <f>Datasheet!AL141/Datasheet!G141</f>
        <v>8.1845641832618884E-3</v>
      </c>
      <c r="T141" s="118">
        <f>Datasheet!AM141/Datasheet!I141</f>
        <v>5.8607956134952163E-2</v>
      </c>
      <c r="U141" s="119">
        <f>O141/Datasheet!AL141</f>
        <v>0.83701657458563539</v>
      </c>
      <c r="V141" s="119">
        <f>P141/Datasheet!AM141</f>
        <v>0.60739856801909309</v>
      </c>
      <c r="W141" s="120">
        <f>((Datasheet!AP141-Datasheet!AO141)/Datasheet!AO141)*100</f>
        <v>8.6871784210799863</v>
      </c>
      <c r="X141" s="119">
        <f>Datasheet!AQ141/Datasheet!AR141</f>
        <v>0.382919213097203</v>
      </c>
      <c r="Y141" s="111">
        <f>Datasheet!AV141+Datasheet!AS141</f>
        <v>79938</v>
      </c>
      <c r="Z141" s="117">
        <f>Datasheet!AW141/(Datasheet!AS141+Datasheet!AV141)</f>
        <v>0.67422252245490255</v>
      </c>
      <c r="AA141" s="111">
        <f>Datasheet!AX141+Datasheet!AT141</f>
        <v>100228</v>
      </c>
      <c r="AB141" s="119">
        <f>Datasheet!AY141/(Datasheet!AT141+Datasheet!AX141)</f>
        <v>0.70002394540447777</v>
      </c>
      <c r="AC141" s="119">
        <f>Datasheet!AU141/(Datasheet!AU141+Datasheet!AZ141)</f>
        <v>0.94970341775727329</v>
      </c>
      <c r="AD141" s="119">
        <f>Datasheet!AZ141/(Datasheet!AU141+Datasheet!AZ141)</f>
        <v>5.0296582242726671E-2</v>
      </c>
      <c r="AE141" s="117">
        <f>(Datasheet!BB141-Datasheet!BA141)/Datasheet!BA141</f>
        <v>0.1258771898829</v>
      </c>
      <c r="AF141" s="118">
        <f>(Datasheet!AX141+Datasheet!AT141)/Datasheet!BB141</f>
        <v>0.62911841320654049</v>
      </c>
      <c r="AG141" s="111">
        <f>(Datasheet!AP141*1000)/Datasheet!E141</f>
        <v>714.61522689994536</v>
      </c>
      <c r="AH141" s="119">
        <f>Datasheet!BW141/SUM(Datasheet!$BW141:$BZ141)</f>
        <v>0.71508379888268159</v>
      </c>
      <c r="AI141" s="119">
        <f>Datasheet!BX141/SUM(Datasheet!$BW141:$BZ141)</f>
        <v>9.4972067039106142E-2</v>
      </c>
      <c r="AJ141" s="119">
        <f>Datasheet!BY141/SUM(Datasheet!$BW141:$BZ141)</f>
        <v>4.4692737430167599E-2</v>
      </c>
      <c r="AK141" s="119">
        <f>Datasheet!BZ141/SUM(Datasheet!$BW141:$BZ141)</f>
        <v>0.14525139664804471</v>
      </c>
      <c r="AL141" s="31">
        <f>Datasheet!BR141+Datasheet!BS141</f>
        <v>20</v>
      </c>
      <c r="AM141" s="31">
        <f>100-Datasheet!BV141</f>
        <v>24</v>
      </c>
      <c r="AN141" s="121">
        <f>(Datasheet!CL141-Datasheet!CK141)/Datasheet!CK141</f>
        <v>0.27906976744186046</v>
      </c>
    </row>
    <row r="142" spans="1:40">
      <c r="A142" s="42" t="s">
        <v>494</v>
      </c>
      <c r="B142" s="42" t="s">
        <v>495</v>
      </c>
      <c r="C142" s="42" t="s">
        <v>496</v>
      </c>
      <c r="D142" s="116">
        <f>Datasheet!G142/Datasheet!E142</f>
        <v>0.7721965631702129</v>
      </c>
      <c r="E142" s="116">
        <f>Datasheet!I142/Datasheet!E142</f>
        <v>0.22780343682978704</v>
      </c>
      <c r="F142" s="116">
        <f>(Datasheet!E142-Datasheet!D142)/Datasheet!D142</f>
        <v>6.7592025195593625E-2</v>
      </c>
      <c r="G142" s="116">
        <f>(Datasheet!G142-Datasheet!F142)/Datasheet!F142</f>
        <v>7.4369165242800184E-2</v>
      </c>
      <c r="H142" s="116">
        <f>(Datasheet!I142-Datasheet!H142)/Datasheet!H142</f>
        <v>4.5242032624895366E-2</v>
      </c>
      <c r="I142" s="116">
        <f>(Datasheet!K142-Datasheet!J142)/Datasheet!J142</f>
        <v>0.19520938569333551</v>
      </c>
      <c r="J142" s="116">
        <f>Datasheet!F142/Datasheet!D142</f>
        <v>0.76732553333998377</v>
      </c>
      <c r="K142" s="116">
        <f>Datasheet!H142/Datasheet!D142</f>
        <v>0.23267446666001623</v>
      </c>
      <c r="L142" s="116">
        <f>Datasheet!R142/Datasheet!Q142</f>
        <v>0.84090909090909094</v>
      </c>
      <c r="M142" s="117">
        <f>(Datasheet!AB142-Datasheet!AA142)/Datasheet!AA142</f>
        <v>4.5523520485584217E-2</v>
      </c>
      <c r="N142" s="118">
        <f>Datasheet!AC142/Datasheet!E142</f>
        <v>2.0156446058146676E-2</v>
      </c>
      <c r="O142" s="111">
        <f>SUM(Datasheet!AD142:AG142)</f>
        <v>1185</v>
      </c>
      <c r="P142" s="111">
        <f>SUM(Datasheet!AH142:AK142)</f>
        <v>2095</v>
      </c>
      <c r="Q142" s="111">
        <f t="shared" si="2"/>
        <v>3280</v>
      </c>
      <c r="R142" s="118">
        <f>Q142/Datasheet!AC142</f>
        <v>0.72406181015452542</v>
      </c>
      <c r="S142" s="118">
        <f>Datasheet!AL142/Datasheet!G142</f>
        <v>7.7501512575988939E-3</v>
      </c>
      <c r="T142" s="118">
        <f>Datasheet!AM142/Datasheet!I142</f>
        <v>6.2210676406820715E-2</v>
      </c>
      <c r="U142" s="119">
        <f>O142/Datasheet!AL142</f>
        <v>0.8810408921933085</v>
      </c>
      <c r="V142" s="119">
        <f>P142/Datasheet!AM142</f>
        <v>0.65777080062794346</v>
      </c>
      <c r="W142" s="120">
        <f>((Datasheet!AP142-Datasheet!AO142)/Datasheet!AO142)*100</f>
        <v>18.92885234179478</v>
      </c>
      <c r="X142" s="119">
        <f>Datasheet!AQ142/Datasheet!AR142</f>
        <v>0.46416162857787924</v>
      </c>
      <c r="Y142" s="111">
        <f>Datasheet!AV142+Datasheet!AS142</f>
        <v>53973</v>
      </c>
      <c r="Z142" s="117">
        <f>Datasheet!AW142/(Datasheet!AS142+Datasheet!AV142)</f>
        <v>0.55262816593481923</v>
      </c>
      <c r="AA142" s="111">
        <f>Datasheet!AX142+Datasheet!AT142</f>
        <v>79662</v>
      </c>
      <c r="AB142" s="119">
        <f>Datasheet!AY142/(Datasheet!AT142+Datasheet!AX142)</f>
        <v>0.63122944440260098</v>
      </c>
      <c r="AC142" s="119">
        <f>Datasheet!AU142/(Datasheet!AU142+Datasheet!AZ142)</f>
        <v>0.96745713369780884</v>
      </c>
      <c r="AD142" s="119">
        <f>Datasheet!AZ142/(Datasheet!AU142+Datasheet!AZ142)</f>
        <v>3.2542866302191185E-2</v>
      </c>
      <c r="AE142" s="117">
        <f>(Datasheet!BB142-Datasheet!BA142)/Datasheet!BA142</f>
        <v>8.6686752659824881E-2</v>
      </c>
      <c r="AF142" s="118">
        <f>(Datasheet!AX142+Datasheet!AT142)/Datasheet!BB142</f>
        <v>0.69021028098113801</v>
      </c>
      <c r="AG142" s="111">
        <f>(Datasheet!AP142*1000)/Datasheet!E142</f>
        <v>740.05748814195829</v>
      </c>
      <c r="AH142" s="119">
        <f>Datasheet!BW142/SUM(Datasheet!$BW142:$BZ142)</f>
        <v>0.74911660777385158</v>
      </c>
      <c r="AI142" s="119">
        <f>Datasheet!BX142/SUM(Datasheet!$BW142:$BZ142)</f>
        <v>7.7738515901060068E-2</v>
      </c>
      <c r="AJ142" s="119">
        <f>Datasheet!BY142/SUM(Datasheet!$BW142:$BZ142)</f>
        <v>3.8869257950530034E-2</v>
      </c>
      <c r="AK142" s="119">
        <f>Datasheet!BZ142/SUM(Datasheet!$BW142:$BZ142)</f>
        <v>0.13427561837455831</v>
      </c>
      <c r="AL142" s="31">
        <f>Datasheet!BR142+Datasheet!BS142</f>
        <v>41</v>
      </c>
      <c r="AM142" s="31">
        <f>100-Datasheet!BV142</f>
        <v>48</v>
      </c>
      <c r="AN142" s="121">
        <f>(Datasheet!CL142-Datasheet!CK142)/Datasheet!CK142</f>
        <v>0.11764705882352941</v>
      </c>
    </row>
    <row r="143" spans="1:40">
      <c r="A143" s="42" t="s">
        <v>497</v>
      </c>
      <c r="B143" s="42" t="s">
        <v>498</v>
      </c>
      <c r="C143" s="42" t="s">
        <v>499</v>
      </c>
      <c r="D143" s="116">
        <f>Datasheet!G143/Datasheet!E143</f>
        <v>0.85982098525208339</v>
      </c>
      <c r="E143" s="116">
        <f>Datasheet!I143/Datasheet!E143</f>
        <v>0.14017901474791664</v>
      </c>
      <c r="F143" s="116">
        <f>(Datasheet!E143-Datasheet!D143)/Datasheet!D143</f>
        <v>6.183681805659786E-2</v>
      </c>
      <c r="G143" s="116">
        <f>(Datasheet!G143-Datasheet!F143)/Datasheet!F143</f>
        <v>4.7161177149954783E-2</v>
      </c>
      <c r="H143" s="116">
        <f>(Datasheet!I143-Datasheet!H143)/Datasheet!H143</f>
        <v>0.16169928825622776</v>
      </c>
      <c r="I143" s="116">
        <f>(Datasheet!K143-Datasheet!J143)/Datasheet!J143</f>
        <v>8.7285994948077469E-2</v>
      </c>
      <c r="J143" s="116">
        <f>Datasheet!F143/Datasheet!D143</f>
        <v>0.87187111115333094</v>
      </c>
      <c r="K143" s="116">
        <f>Datasheet!H143/Datasheet!D143</f>
        <v>0.12812888884666901</v>
      </c>
      <c r="L143" s="116">
        <f>Datasheet!R143/Datasheet!Q143</f>
        <v>0.88741721854304634</v>
      </c>
      <c r="M143" s="117">
        <f>(Datasheet!AB143-Datasheet!AA143)/Datasheet!AA143</f>
        <v>-7.7369439071566732E-3</v>
      </c>
      <c r="N143" s="118">
        <f>Datasheet!AC143/Datasheet!E143</f>
        <v>1.9525221755525436E-2</v>
      </c>
      <c r="O143" s="111">
        <f>SUM(Datasheet!AD143:AG143)</f>
        <v>1720</v>
      </c>
      <c r="P143" s="111">
        <f>SUM(Datasheet!AH143:AK143)</f>
        <v>1900</v>
      </c>
      <c r="Q143" s="111">
        <f t="shared" si="2"/>
        <v>3620</v>
      </c>
      <c r="R143" s="118">
        <f>Q143/Datasheet!AC143</f>
        <v>0.82932416953035515</v>
      </c>
      <c r="S143" s="118">
        <f>Datasheet!AL143/Datasheet!G143</f>
        <v>9.7024747813691681E-3</v>
      </c>
      <c r="T143" s="118">
        <f>Datasheet!AM143/Datasheet!I143</f>
        <v>7.9775352607058522E-2</v>
      </c>
      <c r="U143" s="119">
        <f>O143/Datasheet!AL143</f>
        <v>0.92225201072386054</v>
      </c>
      <c r="V143" s="119">
        <f>P143/Datasheet!AM143</f>
        <v>0.76</v>
      </c>
      <c r="W143" s="120">
        <f>((Datasheet!AP143-Datasheet!AO143)/Datasheet!AO143)*100</f>
        <v>9.1455458463485026</v>
      </c>
      <c r="X143" s="119">
        <f>Datasheet!AQ143/Datasheet!AR143</f>
        <v>0.38419721871049306</v>
      </c>
      <c r="Y143" s="111">
        <f>Datasheet!AV143+Datasheet!AS143</f>
        <v>64462</v>
      </c>
      <c r="Z143" s="117">
        <f>Datasheet!AW143/(Datasheet!AS143+Datasheet!AV143)</f>
        <v>0.5264962303372529</v>
      </c>
      <c r="AA143" s="111">
        <f>Datasheet!AX143+Datasheet!AT143</f>
        <v>54263</v>
      </c>
      <c r="AB143" s="119">
        <f>Datasheet!AY143/(Datasheet!AT143+Datasheet!AX143)</f>
        <v>0.71245600132687104</v>
      </c>
      <c r="AC143" s="119">
        <f>Datasheet!AU143/(Datasheet!AU143+Datasheet!AZ143)</f>
        <v>0.9520686317807241</v>
      </c>
      <c r="AD143" s="119">
        <f>Datasheet!AZ143/(Datasheet!AU143+Datasheet!AZ143)</f>
        <v>4.7931368219275905E-2</v>
      </c>
      <c r="AE143" s="117">
        <f>(Datasheet!BB143-Datasheet!BA143)/Datasheet!BA143</f>
        <v>0.12969587601507351</v>
      </c>
      <c r="AF143" s="118">
        <f>(Datasheet!AX143+Datasheet!AT143)/Datasheet!BB143</f>
        <v>0.50988038299991545</v>
      </c>
      <c r="AG143" s="111">
        <f>(Datasheet!AP143*1000)/Datasheet!E143</f>
        <v>617.38169683794285</v>
      </c>
      <c r="AH143" s="119">
        <f>Datasheet!BW143/SUM(Datasheet!$BW143:$BZ143)</f>
        <v>0.80434782608695654</v>
      </c>
      <c r="AI143" s="119">
        <f>Datasheet!BX143/SUM(Datasheet!$BW143:$BZ143)</f>
        <v>8.1521739130434784E-2</v>
      </c>
      <c r="AJ143" s="119">
        <f>Datasheet!BY143/SUM(Datasheet!$BW143:$BZ143)</f>
        <v>2.717391304347826E-2</v>
      </c>
      <c r="AK143" s="119">
        <f>Datasheet!BZ143/SUM(Datasheet!$BW143:$BZ143)</f>
        <v>8.6956521739130432E-2</v>
      </c>
      <c r="AL143" s="31">
        <f>Datasheet!BR143+Datasheet!BS143</f>
        <v>51</v>
      </c>
      <c r="AM143" s="31">
        <f>100-Datasheet!BV143</f>
        <v>82</v>
      </c>
      <c r="AN143" s="121">
        <f>(Datasheet!CL143-Datasheet!CK143)/Datasheet!CK143</f>
        <v>0.143646408839779</v>
      </c>
    </row>
    <row r="144" spans="1:40">
      <c r="A144" s="42" t="s">
        <v>500</v>
      </c>
      <c r="B144" s="42" t="s">
        <v>501</v>
      </c>
      <c r="C144" s="42" t="s">
        <v>502</v>
      </c>
      <c r="D144" s="116">
        <f>Datasheet!G144/Datasheet!E144</f>
        <v>0.87735100178871939</v>
      </c>
      <c r="E144" s="116">
        <f>Datasheet!I144/Datasheet!E144</f>
        <v>0.12264899821128057</v>
      </c>
      <c r="F144" s="116">
        <f>(Datasheet!E144-Datasheet!D144)/Datasheet!D144</f>
        <v>7.6686102828056449E-2</v>
      </c>
      <c r="G144" s="116">
        <f>(Datasheet!G144-Datasheet!F144)/Datasheet!F144</f>
        <v>6.1773358211185639E-2</v>
      </c>
      <c r="H144" s="116">
        <f>(Datasheet!I144-Datasheet!H144)/Datasheet!H144</f>
        <v>0.19694256989395401</v>
      </c>
      <c r="I144" s="116">
        <f>(Datasheet!K144-Datasheet!J144)/Datasheet!J144</f>
        <v>0.25121424716675661</v>
      </c>
      <c r="J144" s="116">
        <f>Datasheet!F144/Datasheet!D144</f>
        <v>0.88967351047463483</v>
      </c>
      <c r="K144" s="116">
        <f>Datasheet!H144/Datasheet!D144</f>
        <v>0.11032648952536514</v>
      </c>
      <c r="L144" s="116">
        <f>Datasheet!R144/Datasheet!Q144</f>
        <v>0.85227272727272729</v>
      </c>
      <c r="M144" s="117">
        <f>(Datasheet!AB144-Datasheet!AA144)/Datasheet!AA144</f>
        <v>-0.12104539202200826</v>
      </c>
      <c r="N144" s="118">
        <f>Datasheet!AC144/Datasheet!E144</f>
        <v>1.4094544582155848E-2</v>
      </c>
      <c r="O144" s="111">
        <f>SUM(Datasheet!AD144:AG144)</f>
        <v>1460</v>
      </c>
      <c r="P144" s="111">
        <f>SUM(Datasheet!AH144:AK144)</f>
        <v>1620</v>
      </c>
      <c r="Q144" s="111">
        <f t="shared" si="2"/>
        <v>3080</v>
      </c>
      <c r="R144" s="118">
        <f>Q144/Datasheet!AC144</f>
        <v>0.77096370463078845</v>
      </c>
      <c r="S144" s="118">
        <f>Datasheet!AL144/Datasheet!G144</f>
        <v>6.8964407931510104E-3</v>
      </c>
      <c r="T144" s="118">
        <f>Datasheet!AM144/Datasheet!I144</f>
        <v>6.5585088022091814E-2</v>
      </c>
      <c r="U144" s="119">
        <f>O144/Datasheet!AL144</f>
        <v>0.85131195335276966</v>
      </c>
      <c r="V144" s="119">
        <f>P144/Datasheet!AM144</f>
        <v>0.71052631578947367</v>
      </c>
      <c r="W144" s="120">
        <f>((Datasheet!AP144-Datasheet!AO144)/Datasheet!AO144)*100</f>
        <v>8.0001871232473896</v>
      </c>
      <c r="X144" s="119">
        <f>Datasheet!AQ144/Datasheet!AR144</f>
        <v>0.54417723831216513</v>
      </c>
      <c r="Y144" s="111">
        <f>Datasheet!AV144+Datasheet!AS144</f>
        <v>64670</v>
      </c>
      <c r="Z144" s="117">
        <f>Datasheet!AW144/(Datasheet!AS144+Datasheet!AV144)</f>
        <v>0.64733261172104528</v>
      </c>
      <c r="AA144" s="111">
        <f>Datasheet!AX144+Datasheet!AT144</f>
        <v>59344</v>
      </c>
      <c r="AB144" s="119">
        <f>Datasheet!AY144/(Datasheet!AT144+Datasheet!AX144)</f>
        <v>0.35853666756538149</v>
      </c>
      <c r="AC144" s="119">
        <f>Datasheet!AU144/(Datasheet!AU144+Datasheet!AZ144)</f>
        <v>0.96728695776766849</v>
      </c>
      <c r="AD144" s="119">
        <f>Datasheet!AZ144/(Datasheet!AU144+Datasheet!AZ144)</f>
        <v>3.2713042232331555E-2</v>
      </c>
      <c r="AE144" s="117">
        <f>(Datasheet!BB144-Datasheet!BA144)/Datasheet!BA144</f>
        <v>7.9616756741078765E-2</v>
      </c>
      <c r="AF144" s="118">
        <f>(Datasheet!AX144+Datasheet!AT144)/Datasheet!BB144</f>
        <v>0.53143246050793425</v>
      </c>
      <c r="AG144" s="111">
        <f>(Datasheet!AP144*1000)/Datasheet!E144</f>
        <v>570.14990668317796</v>
      </c>
      <c r="AH144" s="119">
        <f>Datasheet!BW144/SUM(Datasheet!$BW144:$BZ144)</f>
        <v>0.67961165048543692</v>
      </c>
      <c r="AI144" s="119">
        <f>Datasheet!BX144/SUM(Datasheet!$BW144:$BZ144)</f>
        <v>9.7087378640776698E-2</v>
      </c>
      <c r="AJ144" s="119">
        <f>Datasheet!BY144/SUM(Datasheet!$BW144:$BZ144)</f>
        <v>7.7669902912621352E-2</v>
      </c>
      <c r="AK144" s="119">
        <f>Datasheet!BZ144/SUM(Datasheet!$BW144:$BZ144)</f>
        <v>0.14563106796116504</v>
      </c>
      <c r="AL144" s="31">
        <f>Datasheet!BR144+Datasheet!BS144</f>
        <v>45</v>
      </c>
      <c r="AM144" s="31">
        <f>100-Datasheet!BV144</f>
        <v>69</v>
      </c>
      <c r="AN144" s="121">
        <f>(Datasheet!CL144-Datasheet!CK144)/Datasheet!CK144</f>
        <v>8.1395348837209308E-2</v>
      </c>
    </row>
    <row r="145" spans="1:40">
      <c r="A145" s="42" t="s">
        <v>503</v>
      </c>
      <c r="B145" s="42" t="s">
        <v>504</v>
      </c>
      <c r="C145" s="42" t="s">
        <v>505</v>
      </c>
      <c r="D145" s="116">
        <f>Datasheet!G145/Datasheet!E145</f>
        <v>0.74607261225892507</v>
      </c>
      <c r="E145" s="116">
        <f>Datasheet!I145/Datasheet!E145</f>
        <v>0.25392738774107493</v>
      </c>
      <c r="F145" s="116">
        <f>(Datasheet!E145-Datasheet!D145)/Datasheet!D145</f>
        <v>3.9621887414010272E-2</v>
      </c>
      <c r="G145" s="116">
        <f>(Datasheet!G145-Datasheet!F145)/Datasheet!F145</f>
        <v>-1.5668116552078949E-3</v>
      </c>
      <c r="H145" s="116">
        <f>(Datasheet!I145-Datasheet!H145)/Datasheet!H145</f>
        <v>0.18301221166892809</v>
      </c>
      <c r="I145" s="116">
        <f>(Datasheet!K145-Datasheet!J145)/Datasheet!J145</f>
        <v>0.44311230731587964</v>
      </c>
      <c r="J145" s="116">
        <f>Datasheet!F145/Datasheet!D145</f>
        <v>0.77685059587249294</v>
      </c>
      <c r="K145" s="116">
        <f>Datasheet!H145/Datasheet!D145</f>
        <v>0.22314940412750703</v>
      </c>
      <c r="L145" s="116">
        <f>Datasheet!R145/Datasheet!Q145</f>
        <v>0.88288288288288286</v>
      </c>
      <c r="M145" s="117">
        <f>(Datasheet!AB145-Datasheet!AA145)/Datasheet!AA145</f>
        <v>7.1859296482412058E-2</v>
      </c>
      <c r="N145" s="118">
        <f>Datasheet!AC145/Datasheet!E145</f>
        <v>2.3444917549612941E-2</v>
      </c>
      <c r="O145" s="111">
        <f>SUM(Datasheet!AD145:AG145)</f>
        <v>1275</v>
      </c>
      <c r="P145" s="111">
        <f>SUM(Datasheet!AH145:AK145)</f>
        <v>1555</v>
      </c>
      <c r="Q145" s="111">
        <f t="shared" si="2"/>
        <v>2830</v>
      </c>
      <c r="R145" s="118">
        <f>Q145/Datasheet!AC145</f>
        <v>0.70310559006211182</v>
      </c>
      <c r="S145" s="118">
        <f>Datasheet!AL145/Datasheet!G145</f>
        <v>1.093024163641332E-2</v>
      </c>
      <c r="T145" s="118">
        <f>Datasheet!AM145/Datasheet!I145</f>
        <v>6.0214708446116441E-2</v>
      </c>
      <c r="U145" s="119">
        <f>O145/Datasheet!AL145</f>
        <v>0.9107142857142857</v>
      </c>
      <c r="V145" s="119">
        <f>P145/Datasheet!AM145</f>
        <v>0.59238095238095234</v>
      </c>
      <c r="W145" s="120">
        <f>((Datasheet!AP145-Datasheet!AO145)/Datasheet!AO145)*100</f>
        <v>117.68470381489347</v>
      </c>
      <c r="X145" s="119">
        <f>Datasheet!AQ145/Datasheet!AR145</f>
        <v>0.83629370149048698</v>
      </c>
      <c r="Y145" s="111">
        <f>Datasheet!AV145+Datasheet!AS145</f>
        <v>64700</v>
      </c>
      <c r="Z145" s="117">
        <f>Datasheet!AW145/(Datasheet!AS145+Datasheet!AV145)</f>
        <v>0.42166924265842348</v>
      </c>
      <c r="AA145" s="111">
        <f>Datasheet!AX145+Datasheet!AT145</f>
        <v>63227</v>
      </c>
      <c r="AB145" s="119">
        <f>Datasheet!AY145/(Datasheet!AT145+Datasheet!AX145)</f>
        <v>9.6683378936213954E-2</v>
      </c>
      <c r="AC145" s="119">
        <f>Datasheet!AU145/(Datasheet!AU145+Datasheet!AZ145)</f>
        <v>0.7542026442259756</v>
      </c>
      <c r="AD145" s="119">
        <f>Datasheet!AZ145/(Datasheet!AU145+Datasheet!AZ145)</f>
        <v>0.24579735577402437</v>
      </c>
      <c r="AE145" s="117">
        <f>(Datasheet!BB145-Datasheet!BA145)/Datasheet!BA145</f>
        <v>-0.50121843264802712</v>
      </c>
      <c r="AF145" s="118">
        <f>(Datasheet!AX145+Datasheet!AT145)/Datasheet!BB145</f>
        <v>1.26083315053742</v>
      </c>
      <c r="AG145" s="111">
        <f>(Datasheet!AP145*1000)/Datasheet!E145</f>
        <v>865.83682337385471</v>
      </c>
      <c r="AH145" s="119">
        <f>Datasheet!BW145/SUM(Datasheet!$BW145:$BZ145)</f>
        <v>0.77815699658703075</v>
      </c>
      <c r="AI145" s="119">
        <f>Datasheet!BX145/SUM(Datasheet!$BW145:$BZ145)</f>
        <v>7.5085324232081918E-2</v>
      </c>
      <c r="AJ145" s="119">
        <f>Datasheet!BY145/SUM(Datasheet!$BW145:$BZ145)</f>
        <v>4.4368600682593858E-2</v>
      </c>
      <c r="AK145" s="119">
        <f>Datasheet!BZ145/SUM(Datasheet!$BW145:$BZ145)</f>
        <v>0.10238907849829351</v>
      </c>
      <c r="AL145" s="31">
        <f>Datasheet!BR145+Datasheet!BS145</f>
        <v>21</v>
      </c>
      <c r="AM145" s="31">
        <f>100-Datasheet!BV145</f>
        <v>25</v>
      </c>
      <c r="AN145" s="121">
        <f>(Datasheet!CL145-Datasheet!CK145)/Datasheet!CK145</f>
        <v>0.30757575757575756</v>
      </c>
    </row>
    <row r="146" spans="1:40">
      <c r="A146" s="42" t="s">
        <v>506</v>
      </c>
      <c r="B146" s="42" t="s">
        <v>507</v>
      </c>
      <c r="C146" s="42" t="s">
        <v>508</v>
      </c>
      <c r="D146" s="116">
        <f>Datasheet!G146/Datasheet!E146</f>
        <v>0.74087037094714547</v>
      </c>
      <c r="E146" s="116">
        <f>Datasheet!I146/Datasheet!E146</f>
        <v>0.25912962905285453</v>
      </c>
      <c r="F146" s="116">
        <f>(Datasheet!E146-Datasheet!D146)/Datasheet!D146</f>
        <v>0.14581409561536163</v>
      </c>
      <c r="G146" s="116">
        <f>(Datasheet!G146-Datasheet!F146)/Datasheet!F146</f>
        <v>0.13346576170636043</v>
      </c>
      <c r="H146" s="116">
        <f>(Datasheet!I146-Datasheet!H146)/Datasheet!H146</f>
        <v>0.18265087642925043</v>
      </c>
      <c r="I146" s="116">
        <f>(Datasheet!K146-Datasheet!J146)/Datasheet!J146</f>
        <v>0.28098668116335962</v>
      </c>
      <c r="J146" s="116">
        <f>Datasheet!F146/Datasheet!D146</f>
        <v>0.74894164670404917</v>
      </c>
      <c r="K146" s="116">
        <f>Datasheet!H146/Datasheet!D146</f>
        <v>0.25105835329595083</v>
      </c>
      <c r="L146" s="116">
        <f>Datasheet!R146/Datasheet!Q146</f>
        <v>0.87323943661971826</v>
      </c>
      <c r="M146" s="117">
        <f>(Datasheet!AB146-Datasheet!AA146)/Datasheet!AA146</f>
        <v>1.0940561724363161E-2</v>
      </c>
      <c r="N146" s="118">
        <f>Datasheet!AC146/Datasheet!E146</f>
        <v>1.9135235306942413E-2</v>
      </c>
      <c r="O146" s="111">
        <f>SUM(Datasheet!AD146:AG146)</f>
        <v>2225</v>
      </c>
      <c r="P146" s="111">
        <f>SUM(Datasheet!AH146:AK146)</f>
        <v>4035</v>
      </c>
      <c r="Q146" s="111">
        <f t="shared" si="2"/>
        <v>6260</v>
      </c>
      <c r="R146" s="118">
        <f>Q146/Datasheet!AC146</f>
        <v>0.63682604272634791</v>
      </c>
      <c r="S146" s="118">
        <f>Datasheet!AL146/Datasheet!G146</f>
        <v>7.0941738440437841E-3</v>
      </c>
      <c r="T146" s="118">
        <f>Datasheet!AM146/Datasheet!I146</f>
        <v>5.3561501825448096E-2</v>
      </c>
      <c r="U146" s="119">
        <f>O146/Datasheet!AL146</f>
        <v>0.82407407407407407</v>
      </c>
      <c r="V146" s="119">
        <f>P146/Datasheet!AM146</f>
        <v>0.56591865357643756</v>
      </c>
      <c r="W146" s="120">
        <f>((Datasheet!AP146-Datasheet!AO146)/Datasheet!AO146)*100</f>
        <v>8.9297631995254108</v>
      </c>
      <c r="X146" s="119">
        <f>Datasheet!AQ146/Datasheet!AR146</f>
        <v>0.51165794316764823</v>
      </c>
      <c r="Y146" s="111">
        <f>Datasheet!AV146+Datasheet!AS146</f>
        <v>120034</v>
      </c>
      <c r="Z146" s="117">
        <f>Datasheet!AW146/(Datasheet!AS146+Datasheet!AV146)</f>
        <v>0.57284602695902831</v>
      </c>
      <c r="AA146" s="111">
        <f>Datasheet!AX146+Datasheet!AT146</f>
        <v>159945</v>
      </c>
      <c r="AB146" s="119">
        <f>Datasheet!AY146/(Datasheet!AT146+Datasheet!AX146)</f>
        <v>0.55347775797930543</v>
      </c>
      <c r="AC146" s="119">
        <f>Datasheet!AU146/(Datasheet!AU146+Datasheet!AZ146)</f>
        <v>0.99369184734190663</v>
      </c>
      <c r="AD146" s="119">
        <f>Datasheet!AZ146/(Datasheet!AU146+Datasheet!AZ146)</f>
        <v>6.3081526580933316E-3</v>
      </c>
      <c r="AE146" s="117">
        <f>(Datasheet!BB146-Datasheet!BA146)/Datasheet!BA146</f>
        <v>0.12785217359959627</v>
      </c>
      <c r="AF146" s="118">
        <f>(Datasheet!AX146+Datasheet!AT146)/Datasheet!BB146</f>
        <v>0.63898510253244967</v>
      </c>
      <c r="AG146" s="111">
        <f>(Datasheet!AP146*1000)/Datasheet!E146</f>
        <v>686.27752515027873</v>
      </c>
      <c r="AH146" s="119">
        <f>Datasheet!BW146/SUM(Datasheet!$BW146:$BZ146)</f>
        <v>0.72131147540983609</v>
      </c>
      <c r="AI146" s="119">
        <f>Datasheet!BX146/SUM(Datasheet!$BW146:$BZ146)</f>
        <v>8.5245901639344257E-2</v>
      </c>
      <c r="AJ146" s="119">
        <f>Datasheet!BY146/SUM(Datasheet!$BW146:$BZ146)</f>
        <v>4.2622950819672129E-2</v>
      </c>
      <c r="AK146" s="119">
        <f>Datasheet!BZ146/SUM(Datasheet!$BW146:$BZ146)</f>
        <v>0.15081967213114755</v>
      </c>
      <c r="AL146" s="31">
        <f>Datasheet!BR146+Datasheet!BS146</f>
        <v>26</v>
      </c>
      <c r="AM146" s="31">
        <f>100-Datasheet!BV146</f>
        <v>30</v>
      </c>
      <c r="AN146" s="121">
        <f>(Datasheet!CL146-Datasheet!CK146)/Datasheet!CK146</f>
        <v>-0.1205098493626883</v>
      </c>
    </row>
    <row r="147" spans="1:40">
      <c r="A147" s="42" t="s">
        <v>509</v>
      </c>
      <c r="B147" s="42" t="s">
        <v>510</v>
      </c>
      <c r="C147" s="42" t="s">
        <v>511</v>
      </c>
      <c r="D147" s="116">
        <f>Datasheet!G147/Datasheet!E147</f>
        <v>0.73717056457163832</v>
      </c>
      <c r="E147" s="116">
        <f>Datasheet!I147/Datasheet!E147</f>
        <v>0.26282943542836168</v>
      </c>
      <c r="F147" s="116">
        <f>(Datasheet!E147-Datasheet!D147)/Datasheet!D147</f>
        <v>6.1495871861275052E-2</v>
      </c>
      <c r="G147" s="116">
        <f>(Datasheet!G147-Datasheet!F147)/Datasheet!F147</f>
        <v>9.5838614058424889E-3</v>
      </c>
      <c r="H147" s="116">
        <f>(Datasheet!I147-Datasheet!H147)/Datasheet!H147</f>
        <v>0.2403811448783657</v>
      </c>
      <c r="I147" s="116">
        <f>(Datasheet!K147-Datasheet!J147)/Datasheet!J147</f>
        <v>0.30023640661938533</v>
      </c>
      <c r="J147" s="116">
        <f>Datasheet!F147/Datasheet!D147</f>
        <v>0.77507529692561228</v>
      </c>
      <c r="K147" s="116">
        <f>Datasheet!H147/Datasheet!D147</f>
        <v>0.22492470307438767</v>
      </c>
      <c r="L147" s="116">
        <f>Datasheet!R147/Datasheet!Q147</f>
        <v>0.87378640776699024</v>
      </c>
      <c r="M147" s="117">
        <f>(Datasheet!AB147-Datasheet!AA147)/Datasheet!AA147</f>
        <v>0.11120996441281139</v>
      </c>
      <c r="N147" s="118">
        <f>Datasheet!AC147/Datasheet!E147</f>
        <v>1.8813955978402189E-2</v>
      </c>
      <c r="O147" s="111">
        <f>SUM(Datasheet!AD147:AG147)</f>
        <v>780</v>
      </c>
      <c r="P147" s="111">
        <f>SUM(Datasheet!AH147:AK147)</f>
        <v>960</v>
      </c>
      <c r="Q147" s="111">
        <f t="shared" si="2"/>
        <v>1740</v>
      </c>
      <c r="R147" s="118">
        <f>Q147/Datasheet!AC147</f>
        <v>0.70731707317073167</v>
      </c>
      <c r="S147" s="118">
        <f>Datasheet!AL147/Datasheet!G147</f>
        <v>9.2335145453790925E-3</v>
      </c>
      <c r="T147" s="118">
        <f>Datasheet!AM147/Datasheet!I147</f>
        <v>4.568468835476925E-2</v>
      </c>
      <c r="U147" s="119">
        <f>O147/Datasheet!AL147</f>
        <v>0.8764044943820225</v>
      </c>
      <c r="V147" s="119">
        <f>P147/Datasheet!AM147</f>
        <v>0.61146496815286622</v>
      </c>
      <c r="W147" s="120">
        <f>((Datasheet!AP147-Datasheet!AO147)/Datasheet!AO147)*100</f>
        <v>11.926121963801108</v>
      </c>
      <c r="X147" s="119">
        <f>Datasheet!AQ147/Datasheet!AR147</f>
        <v>0.52471513293796224</v>
      </c>
      <c r="Y147" s="111">
        <f>Datasheet!AV147+Datasheet!AS147</f>
        <v>41160</v>
      </c>
      <c r="Z147" s="117">
        <f>Datasheet!AW147/(Datasheet!AS147+Datasheet!AV147)</f>
        <v>0.65884353741496604</v>
      </c>
      <c r="AA147" s="111">
        <f>Datasheet!AX147+Datasheet!AT147</f>
        <v>46004</v>
      </c>
      <c r="AB147" s="119">
        <f>Datasheet!AY147/(Datasheet!AT147+Datasheet!AX147)</f>
        <v>0.42537605425615166</v>
      </c>
      <c r="AC147" s="119">
        <f>Datasheet!AU147/(Datasheet!AU147+Datasheet!AZ147)</f>
        <v>0.96363824182635194</v>
      </c>
      <c r="AD147" s="119">
        <f>Datasheet!AZ147/(Datasheet!AU147+Datasheet!AZ147)</f>
        <v>3.6361758173648055E-2</v>
      </c>
      <c r="AE147" s="117">
        <f>(Datasheet!BB147-Datasheet!BA147)/Datasheet!BA147</f>
        <v>3.6691966855414107E-2</v>
      </c>
      <c r="AF147" s="118">
        <f>(Datasheet!AX147+Datasheet!AT147)/Datasheet!BB147</f>
        <v>0.59402923402716801</v>
      </c>
      <c r="AG147" s="111">
        <f>(Datasheet!AP147*1000)/Datasheet!E147</f>
        <v>763.3342001009529</v>
      </c>
      <c r="AH147" s="119">
        <f>Datasheet!BW147/SUM(Datasheet!$BW147:$BZ147)</f>
        <v>0.74626865671641796</v>
      </c>
      <c r="AI147" s="119">
        <f>Datasheet!BX147/SUM(Datasheet!$BW147:$BZ147)</f>
        <v>9.7014925373134331E-2</v>
      </c>
      <c r="AJ147" s="119">
        <f>Datasheet!BY147/SUM(Datasheet!$BW147:$BZ147)</f>
        <v>3.7313432835820892E-2</v>
      </c>
      <c r="AK147" s="119">
        <f>Datasheet!BZ147/SUM(Datasheet!$BW147:$BZ147)</f>
        <v>0.11940298507462686</v>
      </c>
      <c r="AL147" s="31">
        <f>Datasheet!BR147+Datasheet!BS147</f>
        <v>30</v>
      </c>
      <c r="AM147" s="31">
        <f>100-Datasheet!BV147</f>
        <v>43</v>
      </c>
      <c r="AN147" s="121">
        <f>(Datasheet!CL147-Datasheet!CK147)/Datasheet!CK147</f>
        <v>-8.6274509803921567E-2</v>
      </c>
    </row>
    <row r="148" spans="1:40">
      <c r="A148" s="42" t="s">
        <v>512</v>
      </c>
      <c r="B148" s="42" t="s">
        <v>513</v>
      </c>
      <c r="C148" s="42" t="s">
        <v>514</v>
      </c>
      <c r="D148" s="116">
        <f>Datasheet!G148/Datasheet!E148</f>
        <v>0.77437400869201745</v>
      </c>
      <c r="E148" s="116">
        <f>Datasheet!I148/Datasheet!E148</f>
        <v>0.22562599130798258</v>
      </c>
      <c r="F148" s="116">
        <f>(Datasheet!E148-Datasheet!D148)/Datasheet!D148</f>
        <v>0.12431357148835083</v>
      </c>
      <c r="G148" s="116">
        <f>(Datasheet!G148-Datasheet!F148)/Datasheet!F148</f>
        <v>0.1046591410321337</v>
      </c>
      <c r="H148" s="116">
        <f>(Datasheet!I148-Datasheet!H148)/Datasheet!H148</f>
        <v>0.19743519615887198</v>
      </c>
      <c r="I148" s="116">
        <f>(Datasheet!K148-Datasheet!J148)/Datasheet!J148</f>
        <v>0.22698178237321517</v>
      </c>
      <c r="J148" s="116">
        <f>Datasheet!F148/Datasheet!D148</f>
        <v>0.78815190590537743</v>
      </c>
      <c r="K148" s="116">
        <f>Datasheet!H148/Datasheet!D148</f>
        <v>0.21184809409462252</v>
      </c>
      <c r="L148" s="116">
        <f>Datasheet!R148/Datasheet!Q148</f>
        <v>0.88516746411483249</v>
      </c>
      <c r="M148" s="117">
        <f>(Datasheet!AB148-Datasheet!AA148)/Datasheet!AA148</f>
        <v>8.1626221241727068E-2</v>
      </c>
      <c r="N148" s="118">
        <f>Datasheet!AC148/Datasheet!E148</f>
        <v>1.410019296507733E-2</v>
      </c>
      <c r="O148" s="111">
        <f>SUM(Datasheet!AD148:AG148)</f>
        <v>1800</v>
      </c>
      <c r="P148" s="111">
        <f>SUM(Datasheet!AH148:AK148)</f>
        <v>1560</v>
      </c>
      <c r="Q148" s="111">
        <f t="shared" si="2"/>
        <v>3360</v>
      </c>
      <c r="R148" s="118">
        <f>Q148/Datasheet!AC148</f>
        <v>0.68223350253807102</v>
      </c>
      <c r="S148" s="118">
        <f>Datasheet!AL148/Datasheet!G148</f>
        <v>7.5052314790851754E-3</v>
      </c>
      <c r="T148" s="118">
        <f>Datasheet!AM148/Datasheet!I148</f>
        <v>3.6734849253882852E-2</v>
      </c>
      <c r="U148" s="119">
        <f>O148/Datasheet!AL148</f>
        <v>0.88669950738916259</v>
      </c>
      <c r="V148" s="119">
        <f>P148/Datasheet!AM148</f>
        <v>0.53886010362694303</v>
      </c>
      <c r="W148" s="120">
        <f>((Datasheet!AP148-Datasheet!AO148)/Datasheet!AO148)*100</f>
        <v>6.0616870643762688</v>
      </c>
      <c r="X148" s="119">
        <f>Datasheet!AQ148/Datasheet!AR148</f>
        <v>0.44545856938320816</v>
      </c>
      <c r="Y148" s="111">
        <f>Datasheet!AV148+Datasheet!AS148</f>
        <v>83219</v>
      </c>
      <c r="Z148" s="117">
        <f>Datasheet!AW148/(Datasheet!AS148+Datasheet!AV148)</f>
        <v>0.65951285163243967</v>
      </c>
      <c r="AA148" s="111">
        <f>Datasheet!AX148+Datasheet!AT148</f>
        <v>89914</v>
      </c>
      <c r="AB148" s="119">
        <f>Datasheet!AY148/(Datasheet!AT148+Datasheet!AX148)</f>
        <v>0.50486019974642438</v>
      </c>
      <c r="AC148" s="119">
        <f>Datasheet!AU148/(Datasheet!AU148+Datasheet!AZ148)</f>
        <v>0.95090000426109555</v>
      </c>
      <c r="AD148" s="119">
        <f>Datasheet!AZ148/(Datasheet!AU148+Datasheet!AZ148)</f>
        <v>4.909999573890441E-2</v>
      </c>
      <c r="AE148" s="117">
        <f>(Datasheet!BB148-Datasheet!BA148)/Datasheet!BA148</f>
        <v>6.4963437402759047E-2</v>
      </c>
      <c r="AF148" s="118">
        <f>(Datasheet!AX148+Datasheet!AT148)/Datasheet!BB148</f>
        <v>0.5473316410696567</v>
      </c>
      <c r="AG148" s="111">
        <f>(Datasheet!AP148*1000)/Datasheet!E148</f>
        <v>553.2858459829481</v>
      </c>
      <c r="AH148" s="119">
        <f>Datasheet!BW148/SUM(Datasheet!$BW148:$BZ148)</f>
        <v>0.7597254004576659</v>
      </c>
      <c r="AI148" s="119">
        <f>Datasheet!BX148/SUM(Datasheet!$BW148:$BZ148)</f>
        <v>8.6956521739130432E-2</v>
      </c>
      <c r="AJ148" s="119">
        <f>Datasheet!BY148/SUM(Datasheet!$BW148:$BZ148)</f>
        <v>3.4324942791762014E-2</v>
      </c>
      <c r="AK148" s="119">
        <f>Datasheet!BZ148/SUM(Datasheet!$BW148:$BZ148)</f>
        <v>0.11899313501144165</v>
      </c>
      <c r="AL148" s="31">
        <f>Datasheet!BR148+Datasheet!BS148</f>
        <v>56</v>
      </c>
      <c r="AM148" s="31">
        <f>100-Datasheet!BV148</f>
        <v>58</v>
      </c>
      <c r="AN148" s="121">
        <f>(Datasheet!CL148-Datasheet!CK148)/Datasheet!CK148</f>
        <v>-0.10755813953488372</v>
      </c>
    </row>
    <row r="149" spans="1:40">
      <c r="A149" s="42" t="s">
        <v>515</v>
      </c>
      <c r="B149" s="42" t="s">
        <v>516</v>
      </c>
      <c r="C149" s="42" t="s">
        <v>517</v>
      </c>
      <c r="D149" s="116">
        <f>Datasheet!G149/Datasheet!E149</f>
        <v>0.70600468808584216</v>
      </c>
      <c r="E149" s="116">
        <f>Datasheet!I149/Datasheet!E149</f>
        <v>0.29399531191415784</v>
      </c>
      <c r="F149" s="116">
        <f>(Datasheet!E149-Datasheet!D149)/Datasheet!D149</f>
        <v>0.1020454876500822</v>
      </c>
      <c r="G149" s="116">
        <f>(Datasheet!G149-Datasheet!F149)/Datasheet!F149</f>
        <v>7.7335956681820889E-2</v>
      </c>
      <c r="H149" s="116">
        <f>(Datasheet!I149-Datasheet!H149)/Datasheet!H149</f>
        <v>0.16628233594606887</v>
      </c>
      <c r="I149" s="116">
        <f>(Datasheet!K149-Datasheet!J149)/Datasheet!J149</f>
        <v>0.12659358784921482</v>
      </c>
      <c r="J149" s="116">
        <f>Datasheet!F149/Datasheet!D149</f>
        <v>0.72219745005187297</v>
      </c>
      <c r="K149" s="116">
        <f>Datasheet!H149/Datasheet!D149</f>
        <v>0.27780254994812709</v>
      </c>
      <c r="L149" s="116">
        <f>Datasheet!R149/Datasheet!Q149</f>
        <v>0.88470066518847001</v>
      </c>
      <c r="M149" s="117">
        <f>(Datasheet!AB149-Datasheet!AA149)/Datasheet!AA149</f>
        <v>3.9781297134238308E-2</v>
      </c>
      <c r="N149" s="118">
        <f>Datasheet!AC149/Datasheet!E149</f>
        <v>1.5786549131840952E-2</v>
      </c>
      <c r="O149" s="111">
        <f>SUM(Datasheet!AD149:AG149)</f>
        <v>3385</v>
      </c>
      <c r="P149" s="111">
        <f>SUM(Datasheet!AH149:AK149)</f>
        <v>3565</v>
      </c>
      <c r="Q149" s="111">
        <f t="shared" si="2"/>
        <v>6950</v>
      </c>
      <c r="R149" s="118">
        <f>Q149/Datasheet!AC149</f>
        <v>0.59376334899615546</v>
      </c>
      <c r="S149" s="118">
        <f>Datasheet!AL149/Datasheet!G149</f>
        <v>8.1188988862781059E-3</v>
      </c>
      <c r="T149" s="118">
        <f>Datasheet!AM149/Datasheet!I149</f>
        <v>3.419975778038755E-2</v>
      </c>
      <c r="U149" s="119">
        <f>O149/Datasheet!AL149</f>
        <v>0.79647058823529415</v>
      </c>
      <c r="V149" s="119">
        <f>P149/Datasheet!AM149</f>
        <v>0.47820254862508382</v>
      </c>
      <c r="W149" s="120">
        <f>((Datasheet!AP149-Datasheet!AO149)/Datasheet!AO149)*100</f>
        <v>5.8688933497634856</v>
      </c>
      <c r="X149" s="119">
        <f>Datasheet!AQ149/Datasheet!AR149</f>
        <v>0.48863938027926873</v>
      </c>
      <c r="Y149" s="111">
        <f>Datasheet!AV149+Datasheet!AS149</f>
        <v>155040</v>
      </c>
      <c r="Z149" s="117">
        <f>Datasheet!AW149/(Datasheet!AS149+Datasheet!AV149)</f>
        <v>0.70468266253869971</v>
      </c>
      <c r="AA149" s="111">
        <f>Datasheet!AX149+Datasheet!AT149</f>
        <v>214427</v>
      </c>
      <c r="AB149" s="119">
        <f>Datasheet!AY149/(Datasheet!AT149+Datasheet!AX149)</f>
        <v>0.604919156636058</v>
      </c>
      <c r="AC149" s="119">
        <f>Datasheet!AU149/(Datasheet!AU149+Datasheet!AZ149)</f>
        <v>0.96702287455474012</v>
      </c>
      <c r="AD149" s="119">
        <f>Datasheet!AZ149/(Datasheet!AU149+Datasheet!AZ149)</f>
        <v>3.297712544525986E-2</v>
      </c>
      <c r="AE149" s="117">
        <f>(Datasheet!BB149-Datasheet!BA149)/Datasheet!BA149</f>
        <v>0.11691469950052567</v>
      </c>
      <c r="AF149" s="118">
        <f>(Datasheet!AX149+Datasheet!AT149)/Datasheet!BB149</f>
        <v>0.61349870534884055</v>
      </c>
      <c r="AG149" s="111">
        <f>(Datasheet!AP149*1000)/Datasheet!E149</f>
        <v>574.72884359650095</v>
      </c>
      <c r="AH149" s="119">
        <f>Datasheet!BW149/SUM(Datasheet!$BW149:$BZ149)</f>
        <v>0.69868995633187769</v>
      </c>
      <c r="AI149" s="119">
        <f>Datasheet!BX149/SUM(Datasheet!$BW149:$BZ149)</f>
        <v>7.8602620087336247E-2</v>
      </c>
      <c r="AJ149" s="119">
        <f>Datasheet!BY149/SUM(Datasheet!$BW149:$BZ149)</f>
        <v>5.6768558951965066E-2</v>
      </c>
      <c r="AK149" s="119">
        <f>Datasheet!BZ149/SUM(Datasheet!$BW149:$BZ149)</f>
        <v>0.16593886462882096</v>
      </c>
      <c r="AL149" s="31">
        <f>Datasheet!BR149+Datasheet!BS149</f>
        <v>34</v>
      </c>
      <c r="AM149" s="31">
        <f>100-Datasheet!BV149</f>
        <v>29</v>
      </c>
      <c r="AN149" s="121">
        <f>(Datasheet!CL149-Datasheet!CK149)/Datasheet!CK149</f>
        <v>0.38025350233488991</v>
      </c>
    </row>
    <row r="150" spans="1:40">
      <c r="A150" s="42" t="s">
        <v>518</v>
      </c>
      <c r="B150" s="42" t="s">
        <v>519</v>
      </c>
      <c r="C150" s="42" t="s">
        <v>520</v>
      </c>
      <c r="D150" s="116">
        <f>Datasheet!G150/Datasheet!E150</f>
        <v>0.85070991504782278</v>
      </c>
      <c r="E150" s="116">
        <f>Datasheet!I150/Datasheet!E150</f>
        <v>0.14929008495217727</v>
      </c>
      <c r="F150" s="116">
        <f>(Datasheet!E150-Datasheet!D150)/Datasheet!D150</f>
        <v>2.3361851704470089E-2</v>
      </c>
      <c r="G150" s="116">
        <f>(Datasheet!G150-Datasheet!F150)/Datasheet!F150</f>
        <v>1.0877587036739933E-2</v>
      </c>
      <c r="H150" s="116">
        <f>(Datasheet!I150-Datasheet!H150)/Datasheet!H150</f>
        <v>0.10083230456771933</v>
      </c>
      <c r="I150" s="116">
        <f>(Datasheet!K150-Datasheet!J150)/Datasheet!J150</f>
        <v>6.9668390629753579E-2</v>
      </c>
      <c r="J150" s="116">
        <f>Datasheet!F150/Datasheet!D150</f>
        <v>0.86121612061723485</v>
      </c>
      <c r="K150" s="116">
        <f>Datasheet!H150/Datasheet!D150</f>
        <v>0.13878387938276518</v>
      </c>
      <c r="L150" s="116">
        <f>Datasheet!R150/Datasheet!Q150</f>
        <v>0.8539325842696629</v>
      </c>
      <c r="M150" s="117">
        <f>(Datasheet!AB150-Datasheet!AA150)/Datasheet!AA150</f>
        <v>-2.982107355864811E-2</v>
      </c>
      <c r="N150" s="118">
        <f>Datasheet!AC150/Datasheet!E150</f>
        <v>2.0036400360763221E-2</v>
      </c>
      <c r="O150" s="111">
        <f>SUM(Datasheet!AD150:AG150)</f>
        <v>1255</v>
      </c>
      <c r="P150" s="111">
        <f>SUM(Datasheet!AH150:AK150)</f>
        <v>1785</v>
      </c>
      <c r="Q150" s="111">
        <f t="shared" si="2"/>
        <v>3040</v>
      </c>
      <c r="R150" s="118">
        <f>Q150/Datasheet!AC150</f>
        <v>0.81940700808625333</v>
      </c>
      <c r="S150" s="118">
        <f>Datasheet!AL150/Datasheet!G150</f>
        <v>9.0782122905027941E-3</v>
      </c>
      <c r="T150" s="118">
        <f>Datasheet!AM150/Datasheet!I150</f>
        <v>8.2480193900806714E-2</v>
      </c>
      <c r="U150" s="119">
        <f>O150/Datasheet!AL150</f>
        <v>0.8776223776223776</v>
      </c>
      <c r="V150" s="119">
        <f>P150/Datasheet!AM150</f>
        <v>0.78289473684210531</v>
      </c>
      <c r="W150" s="120">
        <f>((Datasheet!AP150-Datasheet!AO150)/Datasheet!AO150)*100</f>
        <v>12.400029416631428</v>
      </c>
      <c r="X150" s="119">
        <f>Datasheet!AQ150/Datasheet!AR150</f>
        <v>0.42504594085748754</v>
      </c>
      <c r="Y150" s="111">
        <f>Datasheet!AV150+Datasheet!AS150</f>
        <v>29815</v>
      </c>
      <c r="Z150" s="117">
        <f>Datasheet!AW150/(Datasheet!AS150+Datasheet!AV150)</f>
        <v>0.50555089719939628</v>
      </c>
      <c r="AA150" s="111">
        <f>Datasheet!AX150+Datasheet!AT150</f>
        <v>59128</v>
      </c>
      <c r="AB150" s="119">
        <f>Datasheet!AY150/(Datasheet!AT150+Datasheet!AX150)</f>
        <v>0.66207211473413607</v>
      </c>
      <c r="AC150" s="119">
        <f>Datasheet!AU150/(Datasheet!AU150+Datasheet!AZ150)</f>
        <v>0.97662819209377427</v>
      </c>
      <c r="AD150" s="119">
        <f>Datasheet!AZ150/(Datasheet!AU150+Datasheet!AZ150)</f>
        <v>2.3371807906225704E-2</v>
      </c>
      <c r="AE150" s="117">
        <f>(Datasheet!BB150-Datasheet!BA150)/Datasheet!BA150</f>
        <v>5.9323644564955716E-2</v>
      </c>
      <c r="AF150" s="118">
        <f>(Datasheet!AX150+Datasheet!AT150)/Datasheet!BB150</f>
        <v>0.70723042880210518</v>
      </c>
      <c r="AG150" s="111">
        <f>(Datasheet!AP150*1000)/Datasheet!E150</f>
        <v>660.34250903258214</v>
      </c>
      <c r="AH150" s="119">
        <f>Datasheet!BW150/SUM(Datasheet!$BW150:$BZ150)</f>
        <v>0.69019607843137254</v>
      </c>
      <c r="AI150" s="119">
        <f>Datasheet!BX150/SUM(Datasheet!$BW150:$BZ150)</f>
        <v>0.11764705882352941</v>
      </c>
      <c r="AJ150" s="119">
        <f>Datasheet!BY150/SUM(Datasheet!$BW150:$BZ150)</f>
        <v>4.3137254901960784E-2</v>
      </c>
      <c r="AK150" s="119">
        <f>Datasheet!BZ150/SUM(Datasheet!$BW150:$BZ150)</f>
        <v>0.14901960784313725</v>
      </c>
      <c r="AL150" s="31">
        <f>Datasheet!BR150+Datasheet!BS150</f>
        <v>31</v>
      </c>
      <c r="AM150" s="31">
        <f>100-Datasheet!BV150</f>
        <v>66</v>
      </c>
      <c r="AN150" s="121">
        <f>(Datasheet!CL150-Datasheet!CK150)/Datasheet!CK150</f>
        <v>-3.5242290748898682E-2</v>
      </c>
    </row>
    <row r="151" spans="1:40">
      <c r="A151" s="42" t="s">
        <v>521</v>
      </c>
      <c r="B151" s="42" t="s">
        <v>522</v>
      </c>
      <c r="C151" s="42" t="s">
        <v>523</v>
      </c>
      <c r="D151" s="116">
        <f>Datasheet!G151/Datasheet!E151</f>
        <v>0.67464713424731493</v>
      </c>
      <c r="E151" s="116">
        <f>Datasheet!I151/Datasheet!E151</f>
        <v>0.32535286575268513</v>
      </c>
      <c r="F151" s="116">
        <f>(Datasheet!E151-Datasheet!D151)/Datasheet!D151</f>
        <v>4.5304089251606179E-2</v>
      </c>
      <c r="G151" s="116">
        <f>(Datasheet!G151-Datasheet!F151)/Datasheet!F151</f>
        <v>6.786173558712796E-3</v>
      </c>
      <c r="H151" s="116">
        <f>(Datasheet!I151-Datasheet!H151)/Datasheet!H151</f>
        <v>0.13537552987210608</v>
      </c>
      <c r="I151" s="116">
        <f>(Datasheet!K151-Datasheet!J151)/Datasheet!J151</f>
        <v>0.17277125086385625</v>
      </c>
      <c r="J151" s="116">
        <f>Datasheet!F151/Datasheet!D151</f>
        <v>0.70045797881576666</v>
      </c>
      <c r="K151" s="116">
        <f>Datasheet!H151/Datasheet!D151</f>
        <v>0.2995420211842334</v>
      </c>
      <c r="L151" s="116">
        <f>Datasheet!R151/Datasheet!Q151</f>
        <v>0.90090090090090091</v>
      </c>
      <c r="M151" s="117">
        <f>(Datasheet!AB151-Datasheet!AA151)/Datasheet!AA151</f>
        <v>0</v>
      </c>
      <c r="N151" s="118">
        <f>Datasheet!AC151/Datasheet!E151</f>
        <v>2.0894220736410968E-2</v>
      </c>
      <c r="O151" s="111">
        <f>SUM(Datasheet!AD151:AG151)</f>
        <v>1195</v>
      </c>
      <c r="P151" s="111">
        <f>SUM(Datasheet!AH151:AK151)</f>
        <v>1470</v>
      </c>
      <c r="Q151" s="111">
        <f t="shared" si="2"/>
        <v>2665</v>
      </c>
      <c r="R151" s="118">
        <f>Q151/Datasheet!AC151</f>
        <v>0.66211180124223601</v>
      </c>
      <c r="S151" s="118">
        <f>Datasheet!AL151/Datasheet!G151</f>
        <v>1.0272233422077223E-2</v>
      </c>
      <c r="T151" s="118">
        <f>Datasheet!AM151/Datasheet!I151</f>
        <v>4.2919824491424015E-2</v>
      </c>
      <c r="U151" s="119">
        <f>O151/Datasheet!AL151</f>
        <v>0.89513108614232206</v>
      </c>
      <c r="V151" s="119">
        <f>P151/Datasheet!AM151</f>
        <v>0.54646840148698883</v>
      </c>
      <c r="W151" s="120">
        <f>((Datasheet!AP151-Datasheet!AO151)/Datasheet!AO151)*100</f>
        <v>3.8597000082870641</v>
      </c>
      <c r="X151" s="119">
        <f>Datasheet!AQ151/Datasheet!AR151</f>
        <v>0.44799410073442875</v>
      </c>
      <c r="Y151" s="111">
        <f>Datasheet!AV151+Datasheet!AS151</f>
        <v>49495</v>
      </c>
      <c r="Z151" s="117">
        <f>Datasheet!AW151/(Datasheet!AS151+Datasheet!AV151)</f>
        <v>0.59428225073239727</v>
      </c>
      <c r="AA151" s="111">
        <f>Datasheet!AX151+Datasheet!AT151</f>
        <v>105718</v>
      </c>
      <c r="AB151" s="119">
        <f>Datasheet!AY151/(Datasheet!AT151+Datasheet!AX151)</f>
        <v>0.54740914508409166</v>
      </c>
      <c r="AC151" s="119">
        <f>Datasheet!AU151/(Datasheet!AU151+Datasheet!AZ151)</f>
        <v>0.96292003640172397</v>
      </c>
      <c r="AD151" s="119">
        <f>Datasheet!AZ151/(Datasheet!AU151+Datasheet!AZ151)</f>
        <v>3.7079963598276068E-2</v>
      </c>
      <c r="AE151" s="117" t="e">
        <f>(Datasheet!BB151-Datasheet!BA151)/Datasheet!BA151</f>
        <v>#VALUE!</v>
      </c>
      <c r="AF151" s="118">
        <f>(Datasheet!AX151+Datasheet!AT151)/Datasheet!BB151</f>
        <v>0.9076220402136026</v>
      </c>
      <c r="AG151" s="111">
        <f>(Datasheet!AP151*1000)/Datasheet!E151</f>
        <v>780.70671781641113</v>
      </c>
      <c r="AH151" s="119">
        <f>Datasheet!BW151/SUM(Datasheet!$BW151:$BZ151)</f>
        <v>0.73170731707317072</v>
      </c>
      <c r="AI151" s="119">
        <f>Datasheet!BX151/SUM(Datasheet!$BW151:$BZ151)</f>
        <v>8.1300813008130079E-2</v>
      </c>
      <c r="AJ151" s="119">
        <f>Datasheet!BY151/SUM(Datasheet!$BW151:$BZ151)</f>
        <v>5.6910569105691054E-2</v>
      </c>
      <c r="AK151" s="119">
        <f>Datasheet!BZ151/SUM(Datasheet!$BW151:$BZ151)</f>
        <v>0.13008130081300814</v>
      </c>
      <c r="AL151" s="31">
        <f>Datasheet!BR151+Datasheet!BS151</f>
        <v>16</v>
      </c>
      <c r="AM151" s="31">
        <f>100-Datasheet!BV151</f>
        <v>15</v>
      </c>
      <c r="AN151" s="121" t="e">
        <f>(Datasheet!CL151-Datasheet!CK151)/Datasheet!CK151</f>
        <v>#VALUE!</v>
      </c>
    </row>
    <row r="152" spans="1:40">
      <c r="A152" s="42" t="s">
        <v>524</v>
      </c>
      <c r="B152" s="42" t="s">
        <v>525</v>
      </c>
      <c r="C152" s="42" t="s">
        <v>526</v>
      </c>
      <c r="D152" s="116">
        <f>Datasheet!G152/Datasheet!E152</f>
        <v>0.75447255899643506</v>
      </c>
      <c r="E152" s="116">
        <f>Datasheet!I152/Datasheet!E152</f>
        <v>0.24552744100356499</v>
      </c>
      <c r="F152" s="116">
        <f>(Datasheet!E152-Datasheet!D152)/Datasheet!D152</f>
        <v>8.6335753655106123E-2</v>
      </c>
      <c r="G152" s="116">
        <f>(Datasheet!G152-Datasheet!F152)/Datasheet!F152</f>
        <v>7.023211786978352E-2</v>
      </c>
      <c r="H152" s="116">
        <f>(Datasheet!I152-Datasheet!H152)/Datasheet!H152</f>
        <v>0.13899964669661333</v>
      </c>
      <c r="I152" s="116">
        <f>(Datasheet!K152-Datasheet!J152)/Datasheet!J152</f>
        <v>0.29442060085836907</v>
      </c>
      <c r="J152" s="116">
        <f>Datasheet!F152/Datasheet!D152</f>
        <v>0.76582500403824716</v>
      </c>
      <c r="K152" s="116">
        <f>Datasheet!H152/Datasheet!D152</f>
        <v>0.23417499596175287</v>
      </c>
      <c r="L152" s="116">
        <f>Datasheet!R152/Datasheet!Q152</f>
        <v>0.89805825242718451</v>
      </c>
      <c r="M152" s="117">
        <f>(Datasheet!AB152-Datasheet!AA152)/Datasheet!AA152</f>
        <v>6.3856960408684551E-3</v>
      </c>
      <c r="N152" s="118">
        <f>Datasheet!AC152/Datasheet!E152</f>
        <v>2.0182275138991141E-2</v>
      </c>
      <c r="O152" s="111">
        <f>SUM(Datasheet!AD152:AG152)</f>
        <v>1920</v>
      </c>
      <c r="P152" s="111">
        <f>SUM(Datasheet!AH152:AK152)</f>
        <v>2135</v>
      </c>
      <c r="Q152" s="111">
        <f t="shared" si="2"/>
        <v>4055</v>
      </c>
      <c r="R152" s="118">
        <f>Q152/Datasheet!AC152</f>
        <v>0.7286612758310872</v>
      </c>
      <c r="S152" s="118">
        <f>Datasheet!AL152/Datasheet!G152</f>
        <v>9.8540637197408135E-3</v>
      </c>
      <c r="T152" s="118">
        <f>Datasheet!AM152/Datasheet!I152</f>
        <v>5.1919469431766146E-2</v>
      </c>
      <c r="U152" s="119">
        <f>O152/Datasheet!AL152</f>
        <v>0.93658536585365859</v>
      </c>
      <c r="V152" s="119">
        <f>P152/Datasheet!AM152</f>
        <v>0.60739687055476532</v>
      </c>
      <c r="W152" s="120">
        <f>((Datasheet!AP152-Datasheet!AO152)/Datasheet!AO152)*100</f>
        <v>8.8120769920526705</v>
      </c>
      <c r="X152" s="119">
        <f>Datasheet!AQ152/Datasheet!AR152</f>
        <v>0.43146358722130712</v>
      </c>
      <c r="Y152" s="111">
        <f>Datasheet!AV152+Datasheet!AS152</f>
        <v>78433</v>
      </c>
      <c r="Z152" s="117">
        <f>Datasheet!AW152/(Datasheet!AS152+Datasheet!AV152)</f>
        <v>0.62621600601787508</v>
      </c>
      <c r="AA152" s="111">
        <f>Datasheet!AX152+Datasheet!AT152</f>
        <v>74973</v>
      </c>
      <c r="AB152" s="119">
        <f>Datasheet!AY152/(Datasheet!AT152+Datasheet!AX152)</f>
        <v>0.53796700145385667</v>
      </c>
      <c r="AC152" s="119">
        <f>Datasheet!AU152/(Datasheet!AU152+Datasheet!AZ152)</f>
        <v>0.9423432064478261</v>
      </c>
      <c r="AD152" s="119">
        <f>Datasheet!AZ152/(Datasheet!AU152+Datasheet!AZ152)</f>
        <v>5.7656793552173853E-2</v>
      </c>
      <c r="AE152" s="117">
        <f>(Datasheet!BB152-Datasheet!BA152)/Datasheet!BA152</f>
        <v>9.4634406243144134E-2</v>
      </c>
      <c r="AF152" s="118">
        <f>(Datasheet!AX152+Datasheet!AT152)/Datasheet!BB152</f>
        <v>0.53664839019082933</v>
      </c>
      <c r="AG152" s="111">
        <f>(Datasheet!AP152*1000)/Datasheet!E152</f>
        <v>642.53255819857327</v>
      </c>
      <c r="AH152" s="119">
        <f>Datasheet!BW152/SUM(Datasheet!$BW152:$BZ152)</f>
        <v>0.70731707317073167</v>
      </c>
      <c r="AI152" s="119">
        <f>Datasheet!BX152/SUM(Datasheet!$BW152:$BZ152)</f>
        <v>9.7560975609756101E-2</v>
      </c>
      <c r="AJ152" s="119">
        <f>Datasheet!BY152/SUM(Datasheet!$BW152:$BZ152)</f>
        <v>4.878048780487805E-2</v>
      </c>
      <c r="AK152" s="119">
        <f>Datasheet!BZ152/SUM(Datasheet!$BW152:$BZ152)</f>
        <v>0.14634146341463414</v>
      </c>
      <c r="AL152" s="31">
        <f>Datasheet!BR152+Datasheet!BS152</f>
        <v>13</v>
      </c>
      <c r="AM152" s="31">
        <f>100-Datasheet!BV152</f>
        <v>15</v>
      </c>
      <c r="AN152" s="121">
        <f>(Datasheet!CL152-Datasheet!CK152)/Datasheet!CK152</f>
        <v>8.9147286821705432E-2</v>
      </c>
    </row>
    <row r="153" spans="1:40">
      <c r="A153" s="42" t="s">
        <v>527</v>
      </c>
      <c r="B153" s="42" t="s">
        <v>528</v>
      </c>
      <c r="C153" s="42" t="s">
        <v>529</v>
      </c>
      <c r="D153" s="116">
        <f>Datasheet!G153/Datasheet!E153</f>
        <v>0.70810938347922514</v>
      </c>
      <c r="E153" s="116">
        <f>Datasheet!I153/Datasheet!E153</f>
        <v>0.29189061652077486</v>
      </c>
      <c r="F153" s="116">
        <f>(Datasheet!E153-Datasheet!D153)/Datasheet!D153</f>
        <v>9.9161294003537404E-2</v>
      </c>
      <c r="G153" s="116">
        <f>(Datasheet!G153-Datasheet!F153)/Datasheet!F153</f>
        <v>4.7751710654936462E-2</v>
      </c>
      <c r="H153" s="116">
        <f>(Datasheet!I153-Datasheet!H153)/Datasheet!H153</f>
        <v>0.24767533331988623</v>
      </c>
      <c r="I153" s="116">
        <f>(Datasheet!K153-Datasheet!J153)/Datasheet!J153</f>
        <v>0.29246193835870776</v>
      </c>
      <c r="J153" s="116">
        <f>Datasheet!F153/Datasheet!D153</f>
        <v>0.74285388258116047</v>
      </c>
      <c r="K153" s="116">
        <f>Datasheet!H153/Datasheet!D153</f>
        <v>0.25714611741883953</v>
      </c>
      <c r="L153" s="116">
        <f>Datasheet!R153/Datasheet!Q153</f>
        <v>0.89029535864978904</v>
      </c>
      <c r="M153" s="117">
        <f>(Datasheet!AB153-Datasheet!AA153)/Datasheet!AA153</f>
        <v>0.05</v>
      </c>
      <c r="N153" s="118">
        <f>Datasheet!AC153/Datasheet!E153</f>
        <v>1.6787391170988368E-2</v>
      </c>
      <c r="O153" s="111">
        <f>SUM(Datasheet!AD153:AG153)</f>
        <v>1830</v>
      </c>
      <c r="P153" s="111">
        <f>SUM(Datasheet!AH153:AK153)</f>
        <v>2820</v>
      </c>
      <c r="Q153" s="111">
        <f t="shared" si="2"/>
        <v>4650</v>
      </c>
      <c r="R153" s="118">
        <f>Q153/Datasheet!AC153</f>
        <v>0.65354884047786366</v>
      </c>
      <c r="S153" s="118">
        <f>Datasheet!AL153/Datasheet!G153</f>
        <v>7.6303320693860413E-3</v>
      </c>
      <c r="T153" s="118">
        <f>Datasheet!AM153/Datasheet!I153</f>
        <v>3.900187532333161E-2</v>
      </c>
      <c r="U153" s="119">
        <f>O153/Datasheet!AL153</f>
        <v>0.79912663755458513</v>
      </c>
      <c r="V153" s="119">
        <f>P153/Datasheet!AM153</f>
        <v>0.58445595854922283</v>
      </c>
      <c r="W153" s="120">
        <f>((Datasheet!AP153-Datasheet!AO153)/Datasheet!AO153)*100</f>
        <v>1.7033850975684981</v>
      </c>
      <c r="X153" s="119">
        <f>Datasheet!AQ153/Datasheet!AR153</f>
        <v>0.5258992999946015</v>
      </c>
      <c r="Y153" s="111">
        <f>Datasheet!AV153+Datasheet!AS153</f>
        <v>123562</v>
      </c>
      <c r="Z153" s="117">
        <f>Datasheet!AW153/(Datasheet!AS153+Datasheet!AV153)</f>
        <v>0.62891503860410158</v>
      </c>
      <c r="AA153" s="111">
        <f>Datasheet!AX153+Datasheet!AT153</f>
        <v>132465</v>
      </c>
      <c r="AB153" s="119">
        <f>Datasheet!AY153/(Datasheet!AT153+Datasheet!AX153)</f>
        <v>0.55557317027139241</v>
      </c>
      <c r="AC153" s="119">
        <f>Datasheet!AU153/(Datasheet!AU153+Datasheet!AZ153)</f>
        <v>0.80764269378938214</v>
      </c>
      <c r="AD153" s="119">
        <f>Datasheet!AZ153/(Datasheet!AU153+Datasheet!AZ153)</f>
        <v>0.19235730621061792</v>
      </c>
      <c r="AE153" s="117">
        <f>(Datasheet!BB153-Datasheet!BA153)/Datasheet!BA153</f>
        <v>0.16975273910241329</v>
      </c>
      <c r="AF153" s="118">
        <f>(Datasheet!AX153+Datasheet!AT153)/Datasheet!BB153</f>
        <v>0.57923643026118443</v>
      </c>
      <c r="AG153" s="111">
        <f>(Datasheet!AP153*1000)/Datasheet!E153</f>
        <v>575.75207040558712</v>
      </c>
      <c r="AH153" s="119">
        <f>Datasheet!BW153/SUM(Datasheet!$BW153:$BZ153)</f>
        <v>0.72992700729927007</v>
      </c>
      <c r="AI153" s="119">
        <f>Datasheet!BX153/SUM(Datasheet!$BW153:$BZ153)</f>
        <v>7.2992700729927001E-2</v>
      </c>
      <c r="AJ153" s="119">
        <f>Datasheet!BY153/SUM(Datasheet!$BW153:$BZ153)</f>
        <v>5.1094890510948905E-2</v>
      </c>
      <c r="AK153" s="119">
        <f>Datasheet!BZ153/SUM(Datasheet!$BW153:$BZ153)</f>
        <v>0.145985401459854</v>
      </c>
      <c r="AL153" s="31">
        <f>Datasheet!BR153+Datasheet!BS153</f>
        <v>29</v>
      </c>
      <c r="AM153" s="31">
        <f>100-Datasheet!BV153</f>
        <v>26</v>
      </c>
      <c r="AN153" s="121">
        <f>(Datasheet!CL153-Datasheet!CK153)/Datasheet!CK153</f>
        <v>-6.2256809338521402E-2</v>
      </c>
    </row>
    <row r="154" spans="1:40">
      <c r="A154" s="42" t="s">
        <v>530</v>
      </c>
      <c r="B154" s="42" t="s">
        <v>531</v>
      </c>
      <c r="C154" s="42" t="s">
        <v>532</v>
      </c>
      <c r="D154" s="116">
        <f>Datasheet!G154/Datasheet!E154</f>
        <v>0.75445856577826942</v>
      </c>
      <c r="E154" s="116">
        <f>Datasheet!I154/Datasheet!E154</f>
        <v>0.24554143422173058</v>
      </c>
      <c r="F154" s="116">
        <f>(Datasheet!E154-Datasheet!D154)/Datasheet!D154</f>
        <v>7.9573864856737828E-2</v>
      </c>
      <c r="G154" s="116">
        <f>(Datasheet!G154-Datasheet!F154)/Datasheet!F154</f>
        <v>5.6171388464923519E-2</v>
      </c>
      <c r="H154" s="116">
        <f>(Datasheet!I154-Datasheet!H154)/Datasheet!H154</f>
        <v>0.15844409401516857</v>
      </c>
      <c r="I154" s="116">
        <f>(Datasheet!K154-Datasheet!J154)/Datasheet!J154</f>
        <v>0.23278939316675165</v>
      </c>
      <c r="J154" s="116">
        <f>Datasheet!F154/Datasheet!D154</f>
        <v>0.77117573778942394</v>
      </c>
      <c r="K154" s="116">
        <f>Datasheet!H154/Datasheet!D154</f>
        <v>0.22882426221057606</v>
      </c>
      <c r="L154" s="116">
        <f>Datasheet!R154/Datasheet!Q154</f>
        <v>0.84482758620689657</v>
      </c>
      <c r="M154" s="117">
        <f>(Datasheet!AB154-Datasheet!AA154)/Datasheet!AA154</f>
        <v>5.8663769690385663E-2</v>
      </c>
      <c r="N154" s="118">
        <f>Datasheet!AC154/Datasheet!E154</f>
        <v>1.2653493239533015E-2</v>
      </c>
      <c r="O154" s="111">
        <f>SUM(Datasheet!AD154:AG154)</f>
        <v>470</v>
      </c>
      <c r="P154" s="111">
        <f>SUM(Datasheet!AH154:AK154)</f>
        <v>590</v>
      </c>
      <c r="Q154" s="111">
        <f t="shared" si="2"/>
        <v>1060</v>
      </c>
      <c r="R154" s="118">
        <f>Q154/Datasheet!AC154</f>
        <v>0.66666666666666663</v>
      </c>
      <c r="S154" s="118">
        <f>Datasheet!AL154/Datasheet!G154</f>
        <v>6.0652089068911324E-3</v>
      </c>
      <c r="T154" s="118">
        <f>Datasheet!AM154/Datasheet!I154</f>
        <v>3.2896869125559086E-2</v>
      </c>
      <c r="U154" s="119">
        <f>O154/Datasheet!AL154</f>
        <v>0.81739130434782614</v>
      </c>
      <c r="V154" s="119">
        <f>P154/Datasheet!AM154</f>
        <v>0.58128078817733986</v>
      </c>
      <c r="W154" s="120">
        <f>((Datasheet!AP154-Datasheet!AO154)/Datasheet!AO154)*100</f>
        <v>16.408994025997416</v>
      </c>
      <c r="X154" s="119">
        <f>Datasheet!AQ154/Datasheet!AR154</f>
        <v>0.59752173552271282</v>
      </c>
      <c r="Y154" s="111">
        <f>Datasheet!AV154+Datasheet!AS154</f>
        <v>31358</v>
      </c>
      <c r="Z154" s="117">
        <f>Datasheet!AW154/(Datasheet!AS154+Datasheet!AV154)</f>
        <v>0.57886344792397471</v>
      </c>
      <c r="AA154" s="111">
        <f>Datasheet!AX154+Datasheet!AT154</f>
        <v>35270</v>
      </c>
      <c r="AB154" s="119">
        <f>Datasheet!AY154/(Datasheet!AT154+Datasheet!AX154)</f>
        <v>0.40850581230507516</v>
      </c>
      <c r="AC154" s="119">
        <f>Datasheet!AU154/(Datasheet!AU154+Datasheet!AZ154)</f>
        <v>1</v>
      </c>
      <c r="AD154" s="119">
        <f>Datasheet!AZ154/(Datasheet!AU154+Datasheet!AZ154)</f>
        <v>0</v>
      </c>
      <c r="AE154" s="117">
        <f>(Datasheet!BB154-Datasheet!BA154)/Datasheet!BA154</f>
        <v>8.4445768772348037E-2</v>
      </c>
      <c r="AF154" s="118">
        <f>(Datasheet!AX154+Datasheet!AT154)/Datasheet!BB154</f>
        <v>0.64607719221117033</v>
      </c>
      <c r="AG154" s="111">
        <f>(Datasheet!AP154*1000)/Datasheet!E154</f>
        <v>617.18805955895812</v>
      </c>
      <c r="AH154" s="119">
        <f>Datasheet!BW154/SUM(Datasheet!$BW154:$BZ154)</f>
        <v>0.6967741935483871</v>
      </c>
      <c r="AI154" s="119">
        <f>Datasheet!BX154/SUM(Datasheet!$BW154:$BZ154)</f>
        <v>7.7419354838709681E-2</v>
      </c>
      <c r="AJ154" s="119">
        <f>Datasheet!BY154/SUM(Datasheet!$BW154:$BZ154)</f>
        <v>5.8064516129032261E-2</v>
      </c>
      <c r="AK154" s="119">
        <f>Datasheet!BZ154/SUM(Datasheet!$BW154:$BZ154)</f>
        <v>0.16774193548387098</v>
      </c>
      <c r="AL154" s="31">
        <f>Datasheet!BR154+Datasheet!BS154</f>
        <v>49</v>
      </c>
      <c r="AM154" s="31">
        <f>100-Datasheet!BV154</f>
        <v>53</v>
      </c>
      <c r="AN154" s="121">
        <f>(Datasheet!CL154-Datasheet!CK154)/Datasheet!CK154</f>
        <v>-0.10457516339869281</v>
      </c>
    </row>
    <row r="155" spans="1:40">
      <c r="A155" s="42" t="s">
        <v>533</v>
      </c>
      <c r="B155" s="42" t="s">
        <v>534</v>
      </c>
      <c r="C155" s="42" t="s">
        <v>535</v>
      </c>
      <c r="D155" s="116">
        <f>Datasheet!G155/Datasheet!E155</f>
        <v>0.71310600209005404</v>
      </c>
      <c r="E155" s="116">
        <f>Datasheet!I155/Datasheet!E155</f>
        <v>0.28689399790994591</v>
      </c>
      <c r="F155" s="116">
        <f>(Datasheet!E155-Datasheet!D155)/Datasheet!D155</f>
        <v>4.0946874297943789E-2</v>
      </c>
      <c r="G155" s="116">
        <f>(Datasheet!G155-Datasheet!F155)/Datasheet!F155</f>
        <v>6.6544801488037974E-3</v>
      </c>
      <c r="H155" s="116">
        <f>(Datasheet!I155-Datasheet!H155)/Datasheet!H155</f>
        <v>0.13724165878697825</v>
      </c>
      <c r="I155" s="116">
        <f>(Datasheet!K155-Datasheet!J155)/Datasheet!J155</f>
        <v>0.11928122588468747</v>
      </c>
      <c r="J155" s="116">
        <f>Datasheet!F155/Datasheet!D155</f>
        <v>0.73739846050157853</v>
      </c>
      <c r="K155" s="116">
        <f>Datasheet!H155/Datasheet!D155</f>
        <v>0.26260153949842147</v>
      </c>
      <c r="L155" s="116">
        <f>Datasheet!R155/Datasheet!Q155</f>
        <v>0.87383177570093462</v>
      </c>
      <c r="M155" s="117">
        <f>(Datasheet!AB155-Datasheet!AA155)/Datasheet!AA155</f>
        <v>1.1733646230566148E-2</v>
      </c>
      <c r="N155" s="118">
        <f>Datasheet!AC155/Datasheet!E155</f>
        <v>3.6329834764566013E-2</v>
      </c>
      <c r="O155" s="111">
        <f>SUM(Datasheet!AD155:AG155)</f>
        <v>2065</v>
      </c>
      <c r="P155" s="111">
        <f>SUM(Datasheet!AH155:AK155)</f>
        <v>5785</v>
      </c>
      <c r="Q155" s="111">
        <f t="shared" si="2"/>
        <v>7850</v>
      </c>
      <c r="R155" s="118">
        <f>Q155/Datasheet!AC155</f>
        <v>0.81813444502344967</v>
      </c>
      <c r="S155" s="118">
        <f>Datasheet!AL155/Datasheet!G155</f>
        <v>1.2185603466127208E-2</v>
      </c>
      <c r="T155" s="118">
        <f>Datasheet!AM155/Datasheet!I155</f>
        <v>9.6342928033152531E-2</v>
      </c>
      <c r="U155" s="119">
        <f>O155/Datasheet!AL155</f>
        <v>0.89978213507625271</v>
      </c>
      <c r="V155" s="119">
        <f>P155/Datasheet!AM155</f>
        <v>0.79246575342465753</v>
      </c>
      <c r="W155" s="120">
        <f>((Datasheet!AP155-Datasheet!AO155)/Datasheet!AO155)*100</f>
        <v>12.392566046113348</v>
      </c>
      <c r="X155" s="119">
        <f>Datasheet!AQ155/Datasheet!AR155</f>
        <v>0.48294239642449477</v>
      </c>
      <c r="Y155" s="111">
        <f>Datasheet!AV155+Datasheet!AS155</f>
        <v>95759</v>
      </c>
      <c r="Z155" s="117">
        <f>Datasheet!AW155/(Datasheet!AS155+Datasheet!AV155)</f>
        <v>0.62807673430173661</v>
      </c>
      <c r="AA155" s="111">
        <f>Datasheet!AX155+Datasheet!AT155</f>
        <v>87560</v>
      </c>
      <c r="AB155" s="119">
        <f>Datasheet!AY155/(Datasheet!AT155+Datasheet!AX155)</f>
        <v>0.63648926450433985</v>
      </c>
      <c r="AC155" s="119">
        <f>Datasheet!AU155/(Datasheet!AU155+Datasheet!AZ155)</f>
        <v>0.99465122147882334</v>
      </c>
      <c r="AD155" s="119">
        <f>Datasheet!AZ155/(Datasheet!AU155+Datasheet!AZ155)</f>
        <v>5.3487785211766082E-3</v>
      </c>
      <c r="AE155" s="117">
        <f>(Datasheet!BB155-Datasheet!BA155)/Datasheet!BA155</f>
        <v>0.10837693834808058</v>
      </c>
      <c r="AF155" s="118">
        <f>(Datasheet!AX155+Datasheet!AT155)/Datasheet!BB155</f>
        <v>0.53894021555146587</v>
      </c>
      <c r="AG155" s="111">
        <f>(Datasheet!AP155*1000)/Datasheet!E155</f>
        <v>805.09109909582446</v>
      </c>
      <c r="AH155" s="119">
        <f>Datasheet!BW155/SUM(Datasheet!$BW155:$BZ155)</f>
        <v>0.70857142857142852</v>
      </c>
      <c r="AI155" s="119">
        <f>Datasheet!BX155/SUM(Datasheet!$BW155:$BZ155)</f>
        <v>0.08</v>
      </c>
      <c r="AJ155" s="119">
        <f>Datasheet!BY155/SUM(Datasheet!$BW155:$BZ155)</f>
        <v>5.1428571428571428E-2</v>
      </c>
      <c r="AK155" s="119">
        <f>Datasheet!BZ155/SUM(Datasheet!$BW155:$BZ155)</f>
        <v>0.16</v>
      </c>
      <c r="AL155" s="31">
        <f>Datasheet!BR155+Datasheet!BS155</f>
        <v>16</v>
      </c>
      <c r="AM155" s="31">
        <f>100-Datasheet!BV155</f>
        <v>16</v>
      </c>
      <c r="AN155" s="121">
        <f>(Datasheet!CL155-Datasheet!CK155)/Datasheet!CK155</f>
        <v>0.76168224299065423</v>
      </c>
    </row>
    <row r="156" spans="1:40">
      <c r="A156" s="42" t="s">
        <v>536</v>
      </c>
      <c r="B156" s="42" t="s">
        <v>537</v>
      </c>
      <c r="C156" s="42" t="s">
        <v>538</v>
      </c>
      <c r="D156" s="116">
        <f>Datasheet!G156/Datasheet!E156</f>
        <v>0.7697428786279501</v>
      </c>
      <c r="E156" s="116">
        <f>Datasheet!I156/Datasheet!E156</f>
        <v>0.23025712137204987</v>
      </c>
      <c r="F156" s="116">
        <f>(Datasheet!E156-Datasheet!D156)/Datasheet!D156</f>
        <v>0.1620063811707364</v>
      </c>
      <c r="G156" s="116">
        <f>(Datasheet!G156-Datasheet!F156)/Datasheet!F156</f>
        <v>0.14844626516937201</v>
      </c>
      <c r="H156" s="116">
        <f>(Datasheet!I156-Datasheet!H156)/Datasheet!H156</f>
        <v>0.20975751205190474</v>
      </c>
      <c r="I156" s="116">
        <f>(Datasheet!K156-Datasheet!J156)/Datasheet!J156</f>
        <v>0.4428697962798937</v>
      </c>
      <c r="J156" s="116">
        <f>Datasheet!F156/Datasheet!D156</f>
        <v>0.77883150823299285</v>
      </c>
      <c r="K156" s="116">
        <f>Datasheet!H156/Datasheet!D156</f>
        <v>0.22116849176700709</v>
      </c>
      <c r="L156" s="116">
        <f>Datasheet!R156/Datasheet!Q156</f>
        <v>0.83478260869565213</v>
      </c>
      <c r="M156" s="117">
        <f>(Datasheet!AB156-Datasheet!AA156)/Datasheet!AA156</f>
        <v>-4.3859649122807015E-3</v>
      </c>
      <c r="N156" s="118">
        <f>Datasheet!AC156/Datasheet!E156</f>
        <v>1.6177880801098301E-2</v>
      </c>
      <c r="O156" s="111">
        <f>SUM(Datasheet!AD156:AG156)</f>
        <v>885</v>
      </c>
      <c r="P156" s="111">
        <f>SUM(Datasheet!AH156:AK156)</f>
        <v>855</v>
      </c>
      <c r="Q156" s="111">
        <f t="shared" si="2"/>
        <v>1740</v>
      </c>
      <c r="R156" s="118">
        <f>Q156/Datasheet!AC156</f>
        <v>0.74200426439232414</v>
      </c>
      <c r="S156" s="118">
        <f>Datasheet!AL156/Datasheet!G156</f>
        <v>8.6488908805736047E-3</v>
      </c>
      <c r="T156" s="118">
        <f>Datasheet!AM156/Datasheet!I156</f>
        <v>4.1347075743048897E-2</v>
      </c>
      <c r="U156" s="119">
        <f>O156/Datasheet!AL156</f>
        <v>0.91709844559585496</v>
      </c>
      <c r="V156" s="119">
        <f>P156/Datasheet!AM156</f>
        <v>0.61956521739130432</v>
      </c>
      <c r="W156" s="120">
        <f>((Datasheet!AP156-Datasheet!AO156)/Datasheet!AO156)*100</f>
        <v>13.464150577277579</v>
      </c>
      <c r="X156" s="119">
        <f>Datasheet!AQ156/Datasheet!AR156</f>
        <v>0.4700077511308553</v>
      </c>
      <c r="Y156" s="111">
        <f>Datasheet!AV156+Datasheet!AS156</f>
        <v>32657</v>
      </c>
      <c r="Z156" s="117">
        <f>Datasheet!AW156/(Datasheet!AS156+Datasheet!AV156)</f>
        <v>0.71127170285084362</v>
      </c>
      <c r="AA156" s="111">
        <f>Datasheet!AX156+Datasheet!AT156</f>
        <v>38280</v>
      </c>
      <c r="AB156" s="119">
        <f>Datasheet!AY156/(Datasheet!AT156+Datasheet!AX156)</f>
        <v>0.51810344827586208</v>
      </c>
      <c r="AC156" s="119">
        <f>Datasheet!AU156/(Datasheet!AU156+Datasheet!AZ156)</f>
        <v>0.98718313420570203</v>
      </c>
      <c r="AD156" s="119">
        <f>Datasheet!AZ156/(Datasheet!AU156+Datasheet!AZ156)</f>
        <v>1.2816865794297996E-2</v>
      </c>
      <c r="AE156" s="117">
        <f>(Datasheet!BB156-Datasheet!BA156)/Datasheet!BA156</f>
        <v>7.9279525141570578E-2</v>
      </c>
      <c r="AF156" s="118">
        <f>(Datasheet!AX156+Datasheet!AT156)/Datasheet!BB156</f>
        <v>0.60496870851507678</v>
      </c>
      <c r="AG156" s="111">
        <f>(Datasheet!AP156*1000)/Datasheet!E156</f>
        <v>645.44570234079106</v>
      </c>
      <c r="AH156" s="119">
        <f>Datasheet!BW156/SUM(Datasheet!$BW156:$BZ156)</f>
        <v>0.74866310160427807</v>
      </c>
      <c r="AI156" s="119">
        <f>Datasheet!BX156/SUM(Datasheet!$BW156:$BZ156)</f>
        <v>8.0213903743315509E-2</v>
      </c>
      <c r="AJ156" s="119">
        <f>Datasheet!BY156/SUM(Datasheet!$BW156:$BZ156)</f>
        <v>4.2780748663101602E-2</v>
      </c>
      <c r="AK156" s="119">
        <f>Datasheet!BZ156/SUM(Datasheet!$BW156:$BZ156)</f>
        <v>0.12834224598930483</v>
      </c>
      <c r="AL156" s="31">
        <f>Datasheet!BR156+Datasheet!BS156</f>
        <v>47</v>
      </c>
      <c r="AM156" s="31">
        <f>100-Datasheet!BV156</f>
        <v>50</v>
      </c>
      <c r="AN156" s="121">
        <f>(Datasheet!CL156-Datasheet!CK156)/Datasheet!CK156</f>
        <v>-4.2016806722689079E-2</v>
      </c>
    </row>
    <row r="157" spans="1:40">
      <c r="A157" s="42" t="s">
        <v>539</v>
      </c>
      <c r="B157" s="42" t="s">
        <v>540</v>
      </c>
      <c r="C157" s="42" t="s">
        <v>541</v>
      </c>
      <c r="D157" s="116">
        <f>Datasheet!G157/Datasheet!E157</f>
        <v>0.78730176509572214</v>
      </c>
      <c r="E157" s="116">
        <f>Datasheet!I157/Datasheet!E157</f>
        <v>0.21269823490427786</v>
      </c>
      <c r="F157" s="116">
        <f>(Datasheet!E157-Datasheet!D157)/Datasheet!D157</f>
        <v>8.3059534761466686E-2</v>
      </c>
      <c r="G157" s="116">
        <f>(Datasheet!G157-Datasheet!F157)/Datasheet!F157</f>
        <v>8.630304591409621E-2</v>
      </c>
      <c r="H157" s="116">
        <f>(Datasheet!I157-Datasheet!H157)/Datasheet!H157</f>
        <v>7.122038360285822E-2</v>
      </c>
      <c r="I157" s="116">
        <f>(Datasheet!K157-Datasheet!J157)/Datasheet!J157</f>
        <v>5.5689682922903591E-2</v>
      </c>
      <c r="J157" s="116">
        <f>Datasheet!F157/Datasheet!D157</f>
        <v>0.78495101954163593</v>
      </c>
      <c r="K157" s="116">
        <f>Datasheet!H157/Datasheet!D157</f>
        <v>0.21504898045836407</v>
      </c>
      <c r="L157" s="116">
        <f>Datasheet!R157/Datasheet!Q157</f>
        <v>0.85384615384615381</v>
      </c>
      <c r="M157" s="117">
        <f>(Datasheet!AB157-Datasheet!AA157)/Datasheet!AA157</f>
        <v>2.9668411867364748E-2</v>
      </c>
      <c r="N157" s="118">
        <f>Datasheet!AC157/Datasheet!E157</f>
        <v>2.1235286979735469E-2</v>
      </c>
      <c r="O157" s="111">
        <f>SUM(Datasheet!AD157:AG157)</f>
        <v>1235</v>
      </c>
      <c r="P157" s="111">
        <f>SUM(Datasheet!AH157:AK157)</f>
        <v>2025</v>
      </c>
      <c r="Q157" s="111">
        <f t="shared" si="2"/>
        <v>3260</v>
      </c>
      <c r="R157" s="118">
        <f>Q157/Datasheet!AC157</f>
        <v>0.71648351648351649</v>
      </c>
      <c r="S157" s="118">
        <f>Datasheet!AL157/Datasheet!G157</f>
        <v>8.5659070969577693E-3</v>
      </c>
      <c r="T157" s="118">
        <f>Datasheet!AM157/Datasheet!I157</f>
        <v>6.8130951858515823E-2</v>
      </c>
      <c r="U157" s="119">
        <f>O157/Datasheet!AL157</f>
        <v>0.8546712802768166</v>
      </c>
      <c r="V157" s="119">
        <f>P157/Datasheet!AM157</f>
        <v>0.65217391304347827</v>
      </c>
      <c r="W157" s="120">
        <f>((Datasheet!AP157-Datasheet!AO157)/Datasheet!AO157)*100</f>
        <v>10.195301330602529</v>
      </c>
      <c r="X157" s="119">
        <f>Datasheet!AQ157/Datasheet!AR157</f>
        <v>0.50563832046224166</v>
      </c>
      <c r="Y157" s="111">
        <f>Datasheet!AV157+Datasheet!AS157</f>
        <v>70008</v>
      </c>
      <c r="Z157" s="117">
        <f>Datasheet!AW157/(Datasheet!AS157+Datasheet!AV157)</f>
        <v>0.5379528053936693</v>
      </c>
      <c r="AA157" s="111">
        <f>Datasheet!AX157+Datasheet!AT157</f>
        <v>67362</v>
      </c>
      <c r="AB157" s="119">
        <f>Datasheet!AY157/(Datasheet!AT157+Datasheet!AX157)</f>
        <v>0.59333155191354181</v>
      </c>
      <c r="AC157" s="119">
        <f>Datasheet!AU157/(Datasheet!AU157+Datasheet!AZ157)</f>
        <v>0.92035579603213646</v>
      </c>
      <c r="AD157" s="119">
        <f>Datasheet!AZ157/(Datasheet!AU157+Datasheet!AZ157)</f>
        <v>7.9644203967863578E-2</v>
      </c>
      <c r="AE157" s="117">
        <f>(Datasheet!BB157-Datasheet!BA157)/Datasheet!BA157</f>
        <v>0.1037815240111844</v>
      </c>
      <c r="AF157" s="118">
        <f>(Datasheet!AX157+Datasheet!AT157)/Datasheet!BB157</f>
        <v>0.55223807181505169</v>
      </c>
      <c r="AG157" s="111">
        <f>(Datasheet!AP157*1000)/Datasheet!E157</f>
        <v>773.40782018612379</v>
      </c>
      <c r="AH157" s="119">
        <f>Datasheet!BW157/SUM(Datasheet!$BW157:$BZ157)</f>
        <v>0.79581151832460728</v>
      </c>
      <c r="AI157" s="119">
        <f>Datasheet!BX157/SUM(Datasheet!$BW157:$BZ157)</f>
        <v>7.3298429319371722E-2</v>
      </c>
      <c r="AJ157" s="119">
        <f>Datasheet!BY157/SUM(Datasheet!$BW157:$BZ157)</f>
        <v>3.1413612565445025E-2</v>
      </c>
      <c r="AK157" s="119">
        <f>Datasheet!BZ157/SUM(Datasheet!$BW157:$BZ157)</f>
        <v>9.947643979057591E-2</v>
      </c>
      <c r="AL157" s="31">
        <f>Datasheet!BR157+Datasheet!BS157</f>
        <v>32</v>
      </c>
      <c r="AM157" s="31">
        <f>100-Datasheet!BV157</f>
        <v>53</v>
      </c>
      <c r="AN157" s="121">
        <f>(Datasheet!CL157-Datasheet!CK157)/Datasheet!CK157</f>
        <v>-5.4945054945054944E-2</v>
      </c>
    </row>
    <row r="158" spans="1:40">
      <c r="A158" s="42" t="s">
        <v>542</v>
      </c>
      <c r="B158" s="42" t="s">
        <v>543</v>
      </c>
      <c r="C158" s="42" t="s">
        <v>544</v>
      </c>
      <c r="D158" s="116">
        <f>Datasheet!G158/Datasheet!E158</f>
        <v>0.70598085462245019</v>
      </c>
      <c r="E158" s="116">
        <f>Datasheet!I158/Datasheet!E158</f>
        <v>0.29401914537754986</v>
      </c>
      <c r="F158" s="116">
        <f>(Datasheet!E158-Datasheet!D158)/Datasheet!D158</f>
        <v>8.303232091813248E-2</v>
      </c>
      <c r="G158" s="116">
        <f>(Datasheet!G158-Datasheet!F158)/Datasheet!F158</f>
        <v>4.4583360147899397E-2</v>
      </c>
      <c r="H158" s="116">
        <f>(Datasheet!I158-Datasheet!H158)/Datasheet!H158</f>
        <v>0.18803173005488052</v>
      </c>
      <c r="I158" s="116">
        <f>(Datasheet!K158-Datasheet!J158)/Datasheet!J158</f>
        <v>0.24725475841874084</v>
      </c>
      <c r="J158" s="116">
        <f>Datasheet!F158/Datasheet!D158</f>
        <v>0.73196655496911367</v>
      </c>
      <c r="K158" s="116">
        <f>Datasheet!H158/Datasheet!D158</f>
        <v>0.26803344503088633</v>
      </c>
      <c r="L158" s="116">
        <f>Datasheet!R158/Datasheet!Q158</f>
        <v>0.89589905362776023</v>
      </c>
      <c r="M158" s="117">
        <f>(Datasheet!AB158-Datasheet!AA158)/Datasheet!AA158</f>
        <v>4.713435640463514E-2</v>
      </c>
      <c r="N158" s="118">
        <f>Datasheet!AC158/Datasheet!E158</f>
        <v>1.785241215150233E-2</v>
      </c>
      <c r="O158" s="111">
        <f>SUM(Datasheet!AD158:AG158)</f>
        <v>2675</v>
      </c>
      <c r="P158" s="111">
        <f>SUM(Datasheet!AH158:AK158)</f>
        <v>3360</v>
      </c>
      <c r="Q158" s="111">
        <f t="shared" si="2"/>
        <v>6035</v>
      </c>
      <c r="R158" s="118">
        <f>Q158/Datasheet!AC158</f>
        <v>0.66832779623477301</v>
      </c>
      <c r="S158" s="118">
        <f>Datasheet!AL158/Datasheet!G158</f>
        <v>8.7371707808846389E-3</v>
      </c>
      <c r="T158" s="118">
        <f>Datasheet!AM158/Datasheet!I158</f>
        <v>3.97393742561475E-2</v>
      </c>
      <c r="U158" s="119">
        <f>O158/Datasheet!AL158</f>
        <v>0.85737179487179482</v>
      </c>
      <c r="V158" s="119">
        <f>P158/Datasheet!AM158</f>
        <v>0.56852791878172593</v>
      </c>
      <c r="W158" s="120">
        <f>((Datasheet!AP158-Datasheet!AO158)/Datasheet!AO158)*100</f>
        <v>13.703052272581026</v>
      </c>
      <c r="X158" s="119">
        <f>Datasheet!AQ158/Datasheet!AR158</f>
        <v>0.61200266327497466</v>
      </c>
      <c r="Y158" s="111">
        <f>Datasheet!AV158+Datasheet!AS158</f>
        <v>138493</v>
      </c>
      <c r="Z158" s="117">
        <f>Datasheet!AW158/(Datasheet!AS158+Datasheet!AV158)</f>
        <v>0.58504761973529351</v>
      </c>
      <c r="AA158" s="111">
        <f>Datasheet!AX158+Datasheet!AT158</f>
        <v>138469</v>
      </c>
      <c r="AB158" s="119">
        <f>Datasheet!AY158/(Datasheet!AT158+Datasheet!AX158)</f>
        <v>0.50697267980558824</v>
      </c>
      <c r="AC158" s="119">
        <f>Datasheet!AU158/(Datasheet!AU158+Datasheet!AZ158)</f>
        <v>0.96321702925134589</v>
      </c>
      <c r="AD158" s="119">
        <f>Datasheet!AZ158/(Datasheet!AU158+Datasheet!AZ158)</f>
        <v>3.6782970748654123E-2</v>
      </c>
      <c r="AE158" s="117">
        <f>(Datasheet!BB158-Datasheet!BA158)/Datasheet!BA158</f>
        <v>3.3856249171757974E-2</v>
      </c>
      <c r="AF158" s="118">
        <f>(Datasheet!AX158+Datasheet!AT158)/Datasheet!BB158</f>
        <v>0.61202849995138031</v>
      </c>
      <c r="AG158" s="111">
        <f>(Datasheet!AP158*1000)/Datasheet!E158</f>
        <v>628.80228700668624</v>
      </c>
      <c r="AH158" s="119">
        <f>Datasheet!BW158/SUM(Datasheet!$BW158:$BZ158)</f>
        <v>0.7142857142857143</v>
      </c>
      <c r="AI158" s="119">
        <f>Datasheet!BX158/SUM(Datasheet!$BW158:$BZ158)</f>
        <v>8.1632653061224483E-2</v>
      </c>
      <c r="AJ158" s="119">
        <f>Datasheet!BY158/SUM(Datasheet!$BW158:$BZ158)</f>
        <v>4.7619047619047616E-2</v>
      </c>
      <c r="AK158" s="119">
        <f>Datasheet!BZ158/SUM(Datasheet!$BW158:$BZ158)</f>
        <v>0.15646258503401361</v>
      </c>
      <c r="AL158" s="31">
        <f>Datasheet!BR158+Datasheet!BS158</f>
        <v>26</v>
      </c>
      <c r="AM158" s="31">
        <f>100-Datasheet!BV158</f>
        <v>30</v>
      </c>
      <c r="AN158" s="121">
        <f>(Datasheet!CL158-Datasheet!CK158)/Datasheet!CK158</f>
        <v>5.5084745762711863E-2</v>
      </c>
    </row>
    <row r="159" spans="1:40">
      <c r="A159" s="42" t="s">
        <v>545</v>
      </c>
      <c r="B159" s="42" t="s">
        <v>546</v>
      </c>
      <c r="C159" s="42" t="s">
        <v>547</v>
      </c>
      <c r="D159" s="116">
        <f>Datasheet!G159/Datasheet!E159</f>
        <v>0.76731756514207894</v>
      </c>
      <c r="E159" s="116">
        <f>Datasheet!I159/Datasheet!E159</f>
        <v>0.23268243485792103</v>
      </c>
      <c r="F159" s="116">
        <f>(Datasheet!E159-Datasheet!D159)/Datasheet!D159</f>
        <v>4.9358430096982889E-2</v>
      </c>
      <c r="G159" s="116">
        <f>(Datasheet!G159-Datasheet!F159)/Datasheet!F159</f>
        <v>3.2643702840316542E-2</v>
      </c>
      <c r="H159" s="116">
        <f>(Datasheet!I159-Datasheet!H159)/Datasheet!H159</f>
        <v>0.10852923611488137</v>
      </c>
      <c r="I159" s="116">
        <f>(Datasheet!K159-Datasheet!J159)/Datasheet!J159</f>
        <v>0.18555705734697819</v>
      </c>
      <c r="J159" s="116">
        <f>Datasheet!F159/Datasheet!D159</f>
        <v>0.77973763199119861</v>
      </c>
      <c r="K159" s="116">
        <f>Datasheet!H159/Datasheet!D159</f>
        <v>0.22026236800880142</v>
      </c>
      <c r="L159" s="116">
        <f>Datasheet!R159/Datasheet!Q159</f>
        <v>0.86315789473684212</v>
      </c>
      <c r="M159" s="117">
        <f>(Datasheet!AB159-Datasheet!AA159)/Datasheet!AA159</f>
        <v>5.6345733041575495E-2</v>
      </c>
      <c r="N159" s="118">
        <f>Datasheet!AC159/Datasheet!E159</f>
        <v>1.6922980495837632E-2</v>
      </c>
      <c r="O159" s="111">
        <f>SUM(Datasheet!AD159:AG159)</f>
        <v>1000</v>
      </c>
      <c r="P159" s="111">
        <f>SUM(Datasheet!AH159:AK159)</f>
        <v>1105</v>
      </c>
      <c r="Q159" s="111">
        <f t="shared" si="2"/>
        <v>2105</v>
      </c>
      <c r="R159" s="118">
        <f>Q159/Datasheet!AC159</f>
        <v>0.7087542087542088</v>
      </c>
      <c r="S159" s="118">
        <f>Datasheet!AL159/Datasheet!G159</f>
        <v>8.5768388222626519E-3</v>
      </c>
      <c r="T159" s="118">
        <f>Datasheet!AM159/Datasheet!I159</f>
        <v>4.4446076990890392E-2</v>
      </c>
      <c r="U159" s="119">
        <f>O159/Datasheet!AL159</f>
        <v>0.86580086580086579</v>
      </c>
      <c r="V159" s="119">
        <f>P159/Datasheet!AM159</f>
        <v>0.60881542699724522</v>
      </c>
      <c r="W159" s="120">
        <f>((Datasheet!AP159-Datasheet!AO159)/Datasheet!AO159)*100</f>
        <v>18.157853279420262</v>
      </c>
      <c r="X159" s="119">
        <f>Datasheet!AQ159/Datasheet!AR159</f>
        <v>0.59250378360872191</v>
      </c>
      <c r="Y159" s="111">
        <f>Datasheet!AV159+Datasheet!AS159</f>
        <v>48681</v>
      </c>
      <c r="Z159" s="117">
        <f>Datasheet!AW159/(Datasheet!AS159+Datasheet!AV159)</f>
        <v>0.60639674616380113</v>
      </c>
      <c r="AA159" s="111">
        <f>Datasheet!AX159+Datasheet!AT159</f>
        <v>43818</v>
      </c>
      <c r="AB159" s="119">
        <f>Datasheet!AY159/(Datasheet!AT159+Datasheet!AX159)</f>
        <v>0.57590487927335798</v>
      </c>
      <c r="AC159" s="119">
        <f>Datasheet!AU159/(Datasheet!AU159+Datasheet!AZ159)</f>
        <v>0.99189535979888965</v>
      </c>
      <c r="AD159" s="119">
        <f>Datasheet!AZ159/(Datasheet!AU159+Datasheet!AZ159)</f>
        <v>8.1046402011102966E-3</v>
      </c>
      <c r="AE159" s="117">
        <f>(Datasheet!BB159-Datasheet!BA159)/Datasheet!BA159</f>
        <v>4.0800196233408741E-2</v>
      </c>
      <c r="AF159" s="118">
        <f>(Datasheet!AX159+Datasheet!AT159)/Datasheet!BB159</f>
        <v>0.57371425578715829</v>
      </c>
      <c r="AG159" s="111">
        <f>(Datasheet!AP159*1000)/Datasheet!E159</f>
        <v>641.04478037162187</v>
      </c>
      <c r="AH159" s="119">
        <f>Datasheet!BW159/SUM(Datasheet!$BW159:$BZ159)</f>
        <v>0.7426160337552743</v>
      </c>
      <c r="AI159" s="119">
        <f>Datasheet!BX159/SUM(Datasheet!$BW159:$BZ159)</f>
        <v>8.4388185654008435E-2</v>
      </c>
      <c r="AJ159" s="119">
        <f>Datasheet!BY159/SUM(Datasheet!$BW159:$BZ159)</f>
        <v>4.6413502109704644E-2</v>
      </c>
      <c r="AK159" s="119">
        <f>Datasheet!BZ159/SUM(Datasheet!$BW159:$BZ159)</f>
        <v>0.12658227848101267</v>
      </c>
      <c r="AL159" s="31">
        <f>Datasheet!BR159+Datasheet!BS159</f>
        <v>28</v>
      </c>
      <c r="AM159" s="31">
        <f>100-Datasheet!BV159</f>
        <v>32</v>
      </c>
      <c r="AN159" s="121">
        <f>(Datasheet!CL159-Datasheet!CK159)/Datasheet!CK159</f>
        <v>-7.9365079365079361E-2</v>
      </c>
    </row>
    <row r="160" spans="1:40">
      <c r="A160" s="42" t="s">
        <v>0</v>
      </c>
      <c r="B160" s="42" t="s">
        <v>548</v>
      </c>
      <c r="C160" s="42" t="s">
        <v>549</v>
      </c>
      <c r="D160" s="116">
        <f>Datasheet!G160/Datasheet!E160</f>
        <v>0.76034428585541425</v>
      </c>
      <c r="E160" s="116">
        <f>Datasheet!I160/Datasheet!E160</f>
        <v>0.2396557141445857</v>
      </c>
      <c r="F160" s="116">
        <f>(Datasheet!E160-Datasheet!D160)/Datasheet!D160</f>
        <v>8.4749328268091575E-2</v>
      </c>
      <c r="G160" s="116">
        <f>(Datasheet!G160-Datasheet!F160)/Datasheet!F160</f>
        <v>6.2269841104267969E-2</v>
      </c>
      <c r="H160" s="116">
        <f>(Datasheet!I160-Datasheet!H160)/Datasheet!H160</f>
        <v>0.16281973453979187</v>
      </c>
      <c r="I160" s="116">
        <f>(Datasheet!K160-Datasheet!J160)/Datasheet!J160</f>
        <v>0.18301389020832975</v>
      </c>
      <c r="J160" s="116">
        <f>Datasheet!F160/Datasheet!D160</f>
        <v>0.77643450036833461</v>
      </c>
      <c r="K160" s="116">
        <f>Datasheet!H160/Datasheet!D160</f>
        <v>0.22356549963166542</v>
      </c>
      <c r="L160" s="116">
        <f>Datasheet!R160/Datasheet!Q160</f>
        <v>0.87607723708935403</v>
      </c>
      <c r="M160" s="117">
        <f>(Datasheet!AB160-Datasheet!AA160)/Datasheet!AA160</f>
        <v>3.5148670728801443E-2</v>
      </c>
      <c r="N160" s="118">
        <f>Datasheet!AC160/Datasheet!E160</f>
        <v>1.8959213207424528E-2</v>
      </c>
      <c r="O160" s="111">
        <f>SUM(Datasheet!AD160:AG160)</f>
        <v>268700</v>
      </c>
      <c r="P160" s="111">
        <f>SUM(Datasheet!AH160:AK160)</f>
        <v>352535</v>
      </c>
      <c r="Q160" s="111">
        <f t="shared" ref="Q160:Q169" si="3">O160+P160</f>
        <v>621235</v>
      </c>
      <c r="R160" s="118">
        <f>Q160/Datasheet!AC160</f>
        <v>0.69899466107082375</v>
      </c>
      <c r="S160" s="118">
        <f>Datasheet!AL160/Datasheet!G160</f>
        <v>8.7751198572458555E-3</v>
      </c>
      <c r="T160" s="118">
        <f>Datasheet!AM160/Datasheet!I160</f>
        <v>5.1269801807681432E-2</v>
      </c>
      <c r="U160" s="119">
        <f>O160/Datasheet!AL160</f>
        <v>0.85909773955302615</v>
      </c>
      <c r="V160" s="119">
        <f>P160/Datasheet!AM160</f>
        <v>0.61205586951049074</v>
      </c>
      <c r="W160" s="120">
        <f>((Datasheet!AP160-Datasheet!AO160)/Datasheet!AO160)*100</f>
        <v>7.6567659415536946</v>
      </c>
      <c r="X160" s="119">
        <f>Datasheet!AQ160/Datasheet!AR160</f>
        <v>0.35738492573875386</v>
      </c>
      <c r="Y160" s="111">
        <f>Datasheet!AV160+Datasheet!AS160</f>
        <v>12844189</v>
      </c>
      <c r="Z160" s="117">
        <f>Datasheet!AW160/(Datasheet!AS160+Datasheet!AV160)</f>
        <v>0.60883579336928162</v>
      </c>
      <c r="AA160" s="111">
        <f>Datasheet!AX160+Datasheet!AT160</f>
        <v>13962345</v>
      </c>
      <c r="AB160" s="119">
        <f>Datasheet!AY160/(Datasheet!AT160+Datasheet!AX160)</f>
        <v>0.60727714434788715</v>
      </c>
      <c r="AC160" s="119">
        <f>Datasheet!AU160/(Datasheet!AU160+Datasheet!AZ160)</f>
        <v>0.95717146226460137</v>
      </c>
      <c r="AD160" s="119">
        <f>Datasheet!AZ160/(Datasheet!AU160+Datasheet!AZ160)</f>
        <v>4.2828537735398624E-2</v>
      </c>
      <c r="AE160" s="117">
        <f>(Datasheet!BB160-Datasheet!BA160)/Datasheet!BA160</f>
        <v>9.9304841363290153E-2</v>
      </c>
      <c r="AF160" s="118">
        <f>(Datasheet!AX160+Datasheet!AT160)/Datasheet!BB160</f>
        <v>0.5673563832862939</v>
      </c>
      <c r="AG160" s="111">
        <f>(Datasheet!AP160*1000)/Datasheet!E160</f>
        <v>675.03449277451648</v>
      </c>
      <c r="AH160" s="119">
        <f>Datasheet!BW160/SUM(Datasheet!$BW160:$BZ160)</f>
        <v>0.73669849931787179</v>
      </c>
      <c r="AI160" s="119">
        <f>Datasheet!BX160/SUM(Datasheet!$BW160:$BZ160)</f>
        <v>8.390177353342429E-2</v>
      </c>
      <c r="AJ160" s="119">
        <f>Datasheet!BY160/SUM(Datasheet!$BW160:$BZ160)</f>
        <v>4.229195088676671E-2</v>
      </c>
      <c r="AK160" s="119">
        <f>Datasheet!BZ160/SUM(Datasheet!$BW160:$BZ160)</f>
        <v>0.13710777626193724</v>
      </c>
      <c r="AL160" s="31">
        <f>Datasheet!BR160+Datasheet!BS160</f>
        <v>31</v>
      </c>
      <c r="AM160" s="31">
        <f>100-Datasheet!BV160</f>
        <v>38</v>
      </c>
      <c r="AN160" s="121">
        <f>(Datasheet!CL160-Datasheet!CK160)/Datasheet!CK160</f>
        <v>1.285668168484287E-2</v>
      </c>
    </row>
    <row r="161" spans="1:40">
      <c r="A161" s="31" t="s">
        <v>550</v>
      </c>
      <c r="B161" s="31" t="s">
        <v>699</v>
      </c>
      <c r="C161" s="31" t="s">
        <v>551</v>
      </c>
      <c r="D161" s="116">
        <f>Datasheet!G161/Datasheet!E161</f>
        <v>0.74650993327737014</v>
      </c>
      <c r="E161" s="116">
        <f>Datasheet!I161/Datasheet!E161</f>
        <v>0.2534900667226298</v>
      </c>
      <c r="F161" s="116">
        <f>(Datasheet!E161-Datasheet!D161)/Datasheet!D161</f>
        <v>9.269322688635602E-2</v>
      </c>
      <c r="G161" s="116">
        <f>(Datasheet!G161-Datasheet!F161)/Datasheet!F161</f>
        <v>7.065713153325448E-2</v>
      </c>
      <c r="H161" s="116">
        <f>(Datasheet!I161-Datasheet!H161)/Datasheet!H161</f>
        <v>0.16319696335614226</v>
      </c>
      <c r="I161" s="116">
        <f>(Datasheet!K161-Datasheet!J161)/Datasheet!J161</f>
        <v>0.19856944461513881</v>
      </c>
      <c r="J161" s="116">
        <f>Datasheet!F161/Datasheet!D161</f>
        <v>0.76187448238206801</v>
      </c>
      <c r="K161" s="116">
        <f>Datasheet!H161/Datasheet!D161</f>
        <v>0.23812551761793202</v>
      </c>
      <c r="L161" s="116">
        <f>Datasheet!R161/Datasheet!Q161</f>
        <v>0.88315588315588311</v>
      </c>
      <c r="M161" s="117">
        <f>(Datasheet!AB161-Datasheet!AA161)/Datasheet!AA161</f>
        <v>2.9919731851459821E-2</v>
      </c>
      <c r="N161" s="118">
        <f>Datasheet!AC161/Datasheet!E161</f>
        <v>1.8589198452989762E-2</v>
      </c>
      <c r="O161" s="111">
        <f>SUM(Datasheet!AD161:AG161)</f>
        <v>25275</v>
      </c>
      <c r="P161" s="111">
        <f>SUM(Datasheet!AH161:AK161)</f>
        <v>33640</v>
      </c>
      <c r="Q161" s="111">
        <f t="shared" si="3"/>
        <v>58915</v>
      </c>
      <c r="R161" s="118">
        <f>Q161/Datasheet!AC161</f>
        <v>0.57924491200471928</v>
      </c>
      <c r="S161" s="118">
        <f>Datasheet!AL161/Datasheet!G161</f>
        <v>8.5139002427961144E-3</v>
      </c>
      <c r="T161" s="118">
        <f>Datasheet!AM161/Datasheet!I161</f>
        <v>4.8260223798811792E-2</v>
      </c>
      <c r="U161" s="119">
        <f>O161/Datasheet!AL161</f>
        <v>0.72681524083393245</v>
      </c>
      <c r="V161" s="119">
        <f>P161/Datasheet!AM161</f>
        <v>0.50257712706356916</v>
      </c>
      <c r="W161" s="120">
        <f>((Datasheet!AP161-Datasheet!AO161)/Datasheet!AO161)*100</f>
        <v>6.8759737820768452</v>
      </c>
      <c r="X161" s="119">
        <f>Datasheet!AQ161/Datasheet!AR161</f>
        <v>0.56372259052601237</v>
      </c>
      <c r="Y161" s="111">
        <f>Datasheet!AV161+Datasheet!AS161</f>
        <v>1501085</v>
      </c>
      <c r="Z161" s="117">
        <f>Datasheet!AW161/(Datasheet!AS161+Datasheet!AV161)</f>
        <v>0.65363054057565029</v>
      </c>
      <c r="AA161" s="111">
        <f>Datasheet!AX161+Datasheet!AT161</f>
        <v>1570424</v>
      </c>
      <c r="AB161" s="119">
        <f>Datasheet!AY161/(Datasheet!AT161+Datasheet!AX161)</f>
        <v>0.61502944427746897</v>
      </c>
      <c r="AC161" s="119">
        <f>Datasheet!AU161/(Datasheet!AU161+Datasheet!AZ161)</f>
        <v>0.97591906180607746</v>
      </c>
      <c r="AD161" s="119">
        <f>Datasheet!AZ161/(Datasheet!AU161+Datasheet!AZ161)</f>
        <v>2.4080938193922506E-2</v>
      </c>
      <c r="AE161" s="117">
        <f>(Datasheet!BB161-Datasheet!BA161)/Datasheet!BA161</f>
        <v>9.4792771819871641E-2</v>
      </c>
      <c r="AF161" s="118">
        <f>(Datasheet!AX161+Datasheet!AT161)/Datasheet!BB161</f>
        <v>0.5599242416679383</v>
      </c>
      <c r="AG161" s="111">
        <f>(Datasheet!AP161*1000)/Datasheet!E161</f>
        <v>673.991772209852</v>
      </c>
      <c r="AH161" s="119">
        <f>Datasheet!BW161/SUM(Datasheet!$BW161:$BZ161)</f>
        <v>0.73351079562259691</v>
      </c>
      <c r="AI161" s="119">
        <f>Datasheet!BX161/SUM(Datasheet!$BW161:$BZ161)</f>
        <v>8.6512866015971607E-2</v>
      </c>
      <c r="AJ161" s="119">
        <f>Datasheet!BY161/SUM(Datasheet!$BW161:$BZ161)</f>
        <v>3.9781129843241642E-2</v>
      </c>
      <c r="AK161" s="119">
        <f>Datasheet!BZ161/SUM(Datasheet!$BW161:$BZ161)</f>
        <v>0.1401952085181899</v>
      </c>
      <c r="AL161" s="31">
        <f>Datasheet!BR161+Datasheet!BS161</f>
        <v>0</v>
      </c>
      <c r="AM161" s="31">
        <f>100-Datasheet!BV161</f>
        <v>100</v>
      </c>
      <c r="AN161" s="121">
        <f>(Datasheet!CL161-Datasheet!CK161)/Datasheet!CK161</f>
        <v>-3.0945381401825775E-4</v>
      </c>
    </row>
    <row r="162" spans="1:40">
      <c r="A162" s="31" t="s">
        <v>552</v>
      </c>
      <c r="B162" s="31" t="s">
        <v>700</v>
      </c>
      <c r="C162" s="31" t="s">
        <v>553</v>
      </c>
      <c r="D162" s="116">
        <f>Datasheet!G162/Datasheet!E162</f>
        <v>0.74716544899430493</v>
      </c>
      <c r="E162" s="116">
        <f>Datasheet!I162/Datasheet!E162</f>
        <v>0.25283455100569502</v>
      </c>
      <c r="F162" s="116">
        <f>(Datasheet!E162-Datasheet!D162)/Datasheet!D162</f>
        <v>9.5470617269057603E-2</v>
      </c>
      <c r="G162" s="116">
        <f>(Datasheet!G162-Datasheet!F162)/Datasheet!F162</f>
        <v>7.0770239870817653E-2</v>
      </c>
      <c r="H162" s="116">
        <f>(Datasheet!I162-Datasheet!H162)/Datasheet!H162</f>
        <v>0.17561097707185888</v>
      </c>
      <c r="I162" s="116">
        <f>(Datasheet!K162-Datasheet!J162)/Datasheet!J162</f>
        <v>0.18807955374924529</v>
      </c>
      <c r="J162" s="116">
        <f>Datasheet!F162/Datasheet!D162</f>
        <v>0.76440095655875806</v>
      </c>
      <c r="K162" s="116">
        <f>Datasheet!H162/Datasheet!D162</f>
        <v>0.23559904344124194</v>
      </c>
      <c r="L162" s="116">
        <f>Datasheet!R162/Datasheet!Q162</f>
        <v>0.87124624624624625</v>
      </c>
      <c r="M162" s="117">
        <f>(Datasheet!AB162-Datasheet!AA162)/Datasheet!AA162</f>
        <v>3.4403000157193865E-2</v>
      </c>
      <c r="N162" s="118">
        <f>Datasheet!AC162/Datasheet!E162</f>
        <v>1.8613512685087388E-2</v>
      </c>
      <c r="O162" s="111">
        <f>SUM(Datasheet!AD162:AG162)</f>
        <v>21075</v>
      </c>
      <c r="P162" s="111">
        <f>SUM(Datasheet!AH162:AK162)</f>
        <v>24675</v>
      </c>
      <c r="Q162" s="111">
        <f t="shared" si="3"/>
        <v>45750</v>
      </c>
      <c r="R162" s="118">
        <f>Q162/Datasheet!AC162</f>
        <v>0.60415978870914488</v>
      </c>
      <c r="S162" s="118">
        <f>Datasheet!AL162/Datasheet!G162</f>
        <v>8.7147359967943983E-3</v>
      </c>
      <c r="T162" s="118">
        <f>Datasheet!AM162/Datasheet!I162</f>
        <v>4.7865938429052249E-2</v>
      </c>
      <c r="U162" s="119">
        <f>O162/Datasheet!AL162</f>
        <v>0.79558323895809735</v>
      </c>
      <c r="V162" s="119">
        <f>P162/Datasheet!AM162</f>
        <v>0.50116786838631056</v>
      </c>
      <c r="W162" s="120">
        <f>((Datasheet!AP162-Datasheet!AO162)/Datasheet!AO162)*100</f>
        <v>4.3269670573168124</v>
      </c>
      <c r="X162" s="119">
        <f>Datasheet!AQ162/Datasheet!AR162</f>
        <v>0.54647308622240365</v>
      </c>
      <c r="Y162" s="111">
        <f>Datasheet!AV162+Datasheet!AS162</f>
        <v>1052450</v>
      </c>
      <c r="Z162" s="117">
        <f>Datasheet!AW162/(Datasheet!AS162+Datasheet!AV162)</f>
        <v>0.60125326618841746</v>
      </c>
      <c r="AA162" s="111">
        <f>Datasheet!AX162+Datasheet!AT162</f>
        <v>1081147</v>
      </c>
      <c r="AB162" s="119">
        <f>Datasheet!AY162/(Datasheet!AT162+Datasheet!AX162)</f>
        <v>0.65483139665558887</v>
      </c>
      <c r="AC162" s="119">
        <f>Datasheet!AU162/(Datasheet!AU162+Datasheet!AZ162)</f>
        <v>0.94295650983719637</v>
      </c>
      <c r="AD162" s="119">
        <f>Datasheet!AZ162/(Datasheet!AU162+Datasheet!AZ162)</f>
        <v>5.7043490162803578E-2</v>
      </c>
      <c r="AE162" s="117">
        <f>(Datasheet!BB162-Datasheet!BA162)/Datasheet!BA162</f>
        <v>6.4317315010593137E-2</v>
      </c>
      <c r="AF162" s="118">
        <f>(Datasheet!AX162+Datasheet!AT162)/Datasheet!BB162</f>
        <v>0.5361558439239883</v>
      </c>
      <c r="AG162" s="111">
        <f>(Datasheet!AP162*1000)/Datasheet!E162</f>
        <v>605.50389710051991</v>
      </c>
      <c r="AH162" s="119">
        <f>Datasheet!BW162/SUM(Datasheet!$BW162:$BZ162)</f>
        <v>0.75059123158086227</v>
      </c>
      <c r="AI162" s="119">
        <f>Datasheet!BX162/SUM(Datasheet!$BW162:$BZ162)</f>
        <v>8.0771329816263421E-2</v>
      </c>
      <c r="AJ162" s="119">
        <f>Datasheet!BY162/SUM(Datasheet!$BW162:$BZ162)</f>
        <v>3.7474986356194291E-2</v>
      </c>
      <c r="AK162" s="119">
        <f>Datasheet!BZ162/SUM(Datasheet!$BW162:$BZ162)</f>
        <v>0.13116245224667999</v>
      </c>
      <c r="AL162" s="31">
        <f>Datasheet!BR162+Datasheet!BS162</f>
        <v>30</v>
      </c>
      <c r="AM162" s="31">
        <f>100-Datasheet!BV162</f>
        <v>35</v>
      </c>
      <c r="AN162" s="121">
        <f>(Datasheet!CL162-Datasheet!CK162)/Datasheet!CK162</f>
        <v>-1.4705882352941176E-3</v>
      </c>
    </row>
    <row r="163" spans="1:40">
      <c r="A163" s="31" t="s">
        <v>554</v>
      </c>
      <c r="B163" s="31" t="s">
        <v>554</v>
      </c>
      <c r="C163" s="31" t="s">
        <v>555</v>
      </c>
      <c r="D163" s="116">
        <f>Datasheet!G163/Datasheet!E163</f>
        <v>0.84176570514347471</v>
      </c>
      <c r="E163" s="116">
        <f>Datasheet!I163/Datasheet!E163</f>
        <v>0.15823429485652526</v>
      </c>
      <c r="F163" s="116">
        <f>(Datasheet!E163-Datasheet!D163)/Datasheet!D163</f>
        <v>7.9410975774218739E-2</v>
      </c>
      <c r="G163" s="116">
        <f>(Datasheet!G163-Datasheet!F163)/Datasheet!F163</f>
        <v>6.24412881134477E-2</v>
      </c>
      <c r="H163" s="116">
        <f>(Datasheet!I163-Datasheet!H163)/Datasheet!H163</f>
        <v>0.17964391175070751</v>
      </c>
      <c r="I163" s="116">
        <f>(Datasheet!K163-Datasheet!J163)/Datasheet!J163</f>
        <v>0.14903889882666829</v>
      </c>
      <c r="J163" s="116">
        <f>Datasheet!F163/Datasheet!D163</f>
        <v>0.85521068441870429</v>
      </c>
      <c r="K163" s="116">
        <f>Datasheet!H163/Datasheet!D163</f>
        <v>0.14478931558129574</v>
      </c>
      <c r="L163" s="116" t="e">
        <f>Datasheet!R163/Datasheet!Q163</f>
        <v>#VALUE!</v>
      </c>
      <c r="M163" s="117">
        <f>(Datasheet!AB163-Datasheet!AA163)/Datasheet!AA163</f>
        <v>9.1187863137508068E-3</v>
      </c>
      <c r="N163" s="118">
        <f>Datasheet!AC163/Datasheet!E163</f>
        <v>1.7934770595433559E-2</v>
      </c>
      <c r="O163" s="111">
        <f>SUM(Datasheet!AD163:AG163)</f>
        <v>14470</v>
      </c>
      <c r="P163" s="111">
        <f>SUM(Datasheet!AH163:AK163)</f>
        <v>8645</v>
      </c>
      <c r="Q163" s="111">
        <f t="shared" si="3"/>
        <v>23115</v>
      </c>
      <c r="R163" s="118">
        <f>Q163/Datasheet!AC163</f>
        <v>0.17695016458700147</v>
      </c>
      <c r="S163" s="118">
        <f>Datasheet!AL163/Datasheet!G163</f>
        <v>8.5694261338790968E-3</v>
      </c>
      <c r="T163" s="118">
        <f>Datasheet!AM163/Datasheet!I163</f>
        <v>6.7755991663470766E-2</v>
      </c>
      <c r="U163" s="119">
        <f>O163/Datasheet!AL163</f>
        <v>0.27540921202893032</v>
      </c>
      <c r="V163" s="119">
        <f>P163/Datasheet!AM163</f>
        <v>0.11070559610705596</v>
      </c>
      <c r="W163" s="120">
        <f>((Datasheet!AP163-Datasheet!AO163)/Datasheet!AO163)*100</f>
        <v>7.643209082313926</v>
      </c>
      <c r="X163" s="119">
        <f>Datasheet!AQ163/Datasheet!AR163</f>
        <v>0.45776475601960365</v>
      </c>
      <c r="Y163" s="111">
        <f>Datasheet!AV163+Datasheet!AS163</f>
        <v>1864837</v>
      </c>
      <c r="Z163" s="117">
        <f>Datasheet!AW163/(Datasheet!AS163+Datasheet!AV163)</f>
        <v>0.58197311614902536</v>
      </c>
      <c r="AA163" s="111">
        <f>Datasheet!AX163+Datasheet!AT163</f>
        <v>1780224</v>
      </c>
      <c r="AB163" s="119">
        <f>Datasheet!AY163/(Datasheet!AT163+Datasheet!AX163)</f>
        <v>0.6464978564495254</v>
      </c>
      <c r="AC163" s="119">
        <f>Datasheet!AU163/(Datasheet!AU163+Datasheet!AZ163)</f>
        <v>0.96433745418726435</v>
      </c>
      <c r="AD163" s="119">
        <f>Datasheet!AZ163/(Datasheet!AU163+Datasheet!AZ163)</f>
        <v>3.5662545812735612E-2</v>
      </c>
      <c r="AE163" s="117">
        <f>(Datasheet!BB163-Datasheet!BA163)/Datasheet!BA163</f>
        <v>0.1125081565078003</v>
      </c>
      <c r="AF163" s="118">
        <f>(Datasheet!AX163+Datasheet!AT163)/Datasheet!BB163</f>
        <v>0.51819192403447234</v>
      </c>
      <c r="AG163" s="111">
        <f>(Datasheet!AP163*1000)/Datasheet!E163</f>
        <v>609.46093129279041</v>
      </c>
      <c r="AH163" s="119">
        <f>Datasheet!BW163/SUM(Datasheet!$BW163:$BZ163)</f>
        <v>0.75748194014447889</v>
      </c>
      <c r="AI163" s="119">
        <f>Datasheet!BX163/SUM(Datasheet!$BW163:$BZ163)</f>
        <v>8.9654282765737878E-2</v>
      </c>
      <c r="AJ163" s="119">
        <f>Datasheet!BY163/SUM(Datasheet!$BW163:$BZ163)</f>
        <v>4.0634674922600617E-2</v>
      </c>
      <c r="AK163" s="119">
        <f>Datasheet!BZ163/SUM(Datasheet!$BW163:$BZ163)</f>
        <v>0.11222910216718267</v>
      </c>
      <c r="AL163" s="31">
        <f>Datasheet!BR163+Datasheet!BS163</f>
        <v>50</v>
      </c>
      <c r="AM163" s="31">
        <f>100-Datasheet!BV163</f>
        <v>78</v>
      </c>
      <c r="AN163" s="121" t="e">
        <f>(Datasheet!CL163-Datasheet!CK163)/Datasheet!CK163</f>
        <v>#VALUE!</v>
      </c>
    </row>
    <row r="164" spans="1:40">
      <c r="A164" s="31" t="s">
        <v>556</v>
      </c>
      <c r="B164" s="31" t="s">
        <v>701</v>
      </c>
      <c r="C164" s="31" t="s">
        <v>557</v>
      </c>
      <c r="D164" s="116">
        <f>Datasheet!G164/Datasheet!E164</f>
        <v>0.73207357519278893</v>
      </c>
      <c r="E164" s="116">
        <f>Datasheet!I164/Datasheet!E164</f>
        <v>0.26792642480721102</v>
      </c>
      <c r="F164" s="116">
        <f>(Datasheet!E164-Datasheet!D164)/Datasheet!D164</f>
        <v>0.17558949305678145</v>
      </c>
      <c r="G164" s="116">
        <f>(Datasheet!G164-Datasheet!F164)/Datasheet!F164</f>
        <v>0.1295876758622162</v>
      </c>
      <c r="H164" s="116">
        <f>(Datasheet!I164-Datasheet!H164)/Datasheet!H164</f>
        <v>0.32278077917590026</v>
      </c>
      <c r="I164" s="116">
        <f>(Datasheet!K164-Datasheet!J164)/Datasheet!J164</f>
        <v>0.35531426115986581</v>
      </c>
      <c r="J164" s="116">
        <f>Datasheet!F164/Datasheet!D164</f>
        <v>0.76188685617895502</v>
      </c>
      <c r="K164" s="116">
        <f>Datasheet!H164/Datasheet!D164</f>
        <v>0.23811314382104498</v>
      </c>
      <c r="L164" s="116">
        <f>Datasheet!R164/Datasheet!Q164</f>
        <v>0.85870646766169156</v>
      </c>
      <c r="M164" s="117">
        <f>(Datasheet!AB164-Datasheet!AA164)/Datasheet!AA164</f>
        <v>-3.8856130065782748E-3</v>
      </c>
      <c r="N164" s="118">
        <f>Datasheet!AC164/Datasheet!E164</f>
        <v>2.3895659958898814E-2</v>
      </c>
      <c r="O164" s="111">
        <f>SUM(Datasheet!AD164:AG164)</f>
        <v>4925</v>
      </c>
      <c r="P164" s="111">
        <f>SUM(Datasheet!AH164:AK164)</f>
        <v>1720</v>
      </c>
      <c r="Q164" s="111">
        <f t="shared" si="3"/>
        <v>6645</v>
      </c>
      <c r="R164" s="118">
        <f>Q164/Datasheet!AC164</f>
        <v>0.1131641689373297</v>
      </c>
      <c r="S164" s="118">
        <f>Datasheet!AL164/Datasheet!G164</f>
        <v>1.0047466287484831E-2</v>
      </c>
      <c r="T164" s="118">
        <f>Datasheet!AM164/Datasheet!I164</f>
        <v>6.1734020465104976E-2</v>
      </c>
      <c r="U164" s="119">
        <f>O164/Datasheet!AL164</f>
        <v>0.27247579529737204</v>
      </c>
      <c r="V164" s="119">
        <f>P164/Datasheet!AM164</f>
        <v>4.2317628244556524E-2</v>
      </c>
      <c r="W164" s="120">
        <f>((Datasheet!AP164-Datasheet!AO164)/Datasheet!AO164)*100</f>
        <v>8.7872292140337063</v>
      </c>
      <c r="X164" s="119" t="e">
        <f>Datasheet!AQ164/Datasheet!AR164</f>
        <v>#VALUE!</v>
      </c>
      <c r="Y164" s="111">
        <f>Datasheet!AV164+Datasheet!AS164</f>
        <v>645532</v>
      </c>
      <c r="Z164" s="117">
        <f>Datasheet!AW164/(Datasheet!AS164+Datasheet!AV164)</f>
        <v>0.66841767720267931</v>
      </c>
      <c r="AA164" s="111">
        <f>Datasheet!AX164+Datasheet!AT164</f>
        <v>901495</v>
      </c>
      <c r="AB164" s="119">
        <f>Datasheet!AY164/(Datasheet!AT164+Datasheet!AX164)</f>
        <v>0.54157704701634513</v>
      </c>
      <c r="AC164" s="119">
        <f>Datasheet!AU164/(Datasheet!AU164+Datasheet!AZ164)</f>
        <v>0.95910394331476145</v>
      </c>
      <c r="AD164" s="119">
        <f>Datasheet!AZ164/(Datasheet!AU164+Datasheet!AZ164)</f>
        <v>4.0896056685238553E-2</v>
      </c>
      <c r="AE164" s="117">
        <f>(Datasheet!BB164-Datasheet!BA164)/Datasheet!BA164</f>
        <v>7.7745048092208335E-2</v>
      </c>
      <c r="AF164" s="118">
        <f>(Datasheet!AX164+Datasheet!AT164)/Datasheet!BB164</f>
        <v>0.64081885944272976</v>
      </c>
      <c r="AG164" s="111">
        <f>(Datasheet!AP164*1000)/Datasheet!E164</f>
        <v>735.42840865159621</v>
      </c>
      <c r="AH164" s="119">
        <f>Datasheet!BW164/SUM(Datasheet!$BW164:$BZ164)</f>
        <v>0.71982890314696002</v>
      </c>
      <c r="AI164" s="119">
        <f>Datasheet!BX164/SUM(Datasheet!$BW164:$BZ164)</f>
        <v>7.9437824625725628E-2</v>
      </c>
      <c r="AJ164" s="119">
        <f>Datasheet!BY164/SUM(Datasheet!$BW164:$BZ164)</f>
        <v>4.8273754964864038E-2</v>
      </c>
      <c r="AK164" s="119">
        <f>Datasheet!BZ164/SUM(Datasheet!$BW164:$BZ164)</f>
        <v>0.15245951726245036</v>
      </c>
      <c r="AL164" s="31">
        <f>Datasheet!BR164+Datasheet!BS164</f>
        <v>0</v>
      </c>
      <c r="AM164" s="31">
        <f>100-Datasheet!BV164</f>
        <v>100</v>
      </c>
      <c r="AN164" s="121">
        <f>(Datasheet!CL164-Datasheet!CK164)/Datasheet!CK164</f>
        <v>0.40634005763688763</v>
      </c>
    </row>
    <row r="165" spans="1:40">
      <c r="A165" s="31" t="s">
        <v>558</v>
      </c>
      <c r="B165" s="31" t="s">
        <v>702</v>
      </c>
      <c r="C165" s="31" t="s">
        <v>559</v>
      </c>
      <c r="D165" s="116">
        <f>Datasheet!G165/Datasheet!E165</f>
        <v>0.76096589660745306</v>
      </c>
      <c r="E165" s="116">
        <f>Datasheet!I165/Datasheet!E165</f>
        <v>0.23903410339254688</v>
      </c>
      <c r="F165" s="116">
        <f>(Datasheet!E165-Datasheet!D165)/Datasheet!D165</f>
        <v>4.8315436699186413E-2</v>
      </c>
      <c r="G165" s="116">
        <f>(Datasheet!G165-Datasheet!F165)/Datasheet!F165</f>
        <v>3.5013159869787758E-2</v>
      </c>
      <c r="H165" s="116">
        <f>(Datasheet!I165-Datasheet!H165)/Datasheet!H165</f>
        <v>9.3037356859826448E-2</v>
      </c>
      <c r="I165" s="116">
        <f>(Datasheet!K165-Datasheet!J165)/Datasheet!J165</f>
        <v>0.12081450495080276</v>
      </c>
      <c r="J165" s="116">
        <f>Datasheet!F165/Datasheet!D165</f>
        <v>0.77074604183350748</v>
      </c>
      <c r="K165" s="116">
        <f>Datasheet!H165/Datasheet!D165</f>
        <v>0.22925395816649258</v>
      </c>
      <c r="L165" s="116">
        <f>Datasheet!R165/Datasheet!Q165</f>
        <v>0.87427645288261169</v>
      </c>
      <c r="M165" s="117">
        <f>(Datasheet!AB165-Datasheet!AA165)/Datasheet!AA165</f>
        <v>1.8512032821333867E-2</v>
      </c>
      <c r="N165" s="118">
        <f>Datasheet!AC165/Datasheet!E165</f>
        <v>2.2622932479299519E-2</v>
      </c>
      <c r="O165" s="111">
        <f>SUM(Datasheet!AD165:AG165)</f>
        <v>14230</v>
      </c>
      <c r="P165" s="111">
        <f>SUM(Datasheet!AH165:AK165)</f>
        <v>5485</v>
      </c>
      <c r="Q165" s="111">
        <f t="shared" si="3"/>
        <v>19715</v>
      </c>
      <c r="R165" s="118">
        <f>Q165/Datasheet!AC165</f>
        <v>0.14683101213971847</v>
      </c>
      <c r="S165" s="118">
        <f>Datasheet!AL165/Datasheet!G165</f>
        <v>1.012414672650744E-2</v>
      </c>
      <c r="T165" s="118">
        <f>Datasheet!AM165/Datasheet!I165</f>
        <v>6.2412860242278483E-2</v>
      </c>
      <c r="U165" s="119">
        <f>O165/Datasheet!AL165</f>
        <v>0.31120831055221432</v>
      </c>
      <c r="V165" s="119">
        <f>P165/Datasheet!AM165</f>
        <v>6.1945903213055507E-2</v>
      </c>
      <c r="W165" s="120">
        <f>((Datasheet!AP165-Datasheet!AO165)/Datasheet!AO165)*100</f>
        <v>9.9755128534637603</v>
      </c>
      <c r="X165" s="119">
        <f>Datasheet!AQ165/Datasheet!AR165</f>
        <v>0.48875134570873341</v>
      </c>
      <c r="Y165" s="111">
        <f>Datasheet!AV165+Datasheet!AS165</f>
        <v>1860308</v>
      </c>
      <c r="Z165" s="117">
        <f>Datasheet!AW165/(Datasheet!AS165+Datasheet!AV165)</f>
        <v>0.5856696848048818</v>
      </c>
      <c r="AA165" s="111">
        <f>Datasheet!AX165+Datasheet!AT165</f>
        <v>1928818</v>
      </c>
      <c r="AB165" s="119">
        <f>Datasheet!AY165/(Datasheet!AT165+Datasheet!AX165)</f>
        <v>0.55939803548079703</v>
      </c>
      <c r="AC165" s="119">
        <f>Datasheet!AU165/(Datasheet!AU165+Datasheet!AZ165)</f>
        <v>0.95518273011636545</v>
      </c>
      <c r="AD165" s="119">
        <f>Datasheet!AZ165/(Datasheet!AU165+Datasheet!AZ165)</f>
        <v>4.4817269883634568E-2</v>
      </c>
      <c r="AE165" s="117">
        <f>(Datasheet!BB165-Datasheet!BA165)/Datasheet!BA165</f>
        <v>0.11202194358390534</v>
      </c>
      <c r="AF165" s="118">
        <f>(Datasheet!AX165+Datasheet!AT165)/Datasheet!BB165</f>
        <v>0.56645822130606638</v>
      </c>
      <c r="AG165" s="111">
        <f>(Datasheet!AP165*1000)/Datasheet!E165</f>
        <v>749.06421563275467</v>
      </c>
      <c r="AH165" s="119">
        <f>Datasheet!BW165/SUM(Datasheet!$BW165:$BZ165)</f>
        <v>0.74276696475539195</v>
      </c>
      <c r="AI165" s="119">
        <f>Datasheet!BX165/SUM(Datasheet!$BW165:$BZ165)</f>
        <v>8.0089426617569695E-2</v>
      </c>
      <c r="AJ165" s="119">
        <f>Datasheet!BY165/SUM(Datasheet!$BW165:$BZ165)</f>
        <v>4.431877958968964E-2</v>
      </c>
      <c r="AK165" s="119">
        <f>Datasheet!BZ165/SUM(Datasheet!$BW165:$BZ165)</f>
        <v>0.13282482903734877</v>
      </c>
      <c r="AL165" s="31">
        <f>Datasheet!BR165+Datasheet!BS165</f>
        <v>0</v>
      </c>
      <c r="AM165" s="31">
        <f>100-Datasheet!BV165</f>
        <v>100</v>
      </c>
      <c r="AN165" s="121">
        <f>(Datasheet!CL165-Datasheet!CK165)/Datasheet!CK165</f>
        <v>-4.5791192163733375E-2</v>
      </c>
    </row>
    <row r="166" spans="1:40">
      <c r="A166" s="31" t="s">
        <v>560</v>
      </c>
      <c r="B166" s="31" t="s">
        <v>560</v>
      </c>
      <c r="C166" s="31" t="s">
        <v>561</v>
      </c>
      <c r="D166" s="116">
        <f>Datasheet!G166/Datasheet!E166</f>
        <v>0.74384914750749009</v>
      </c>
      <c r="E166" s="116">
        <f>Datasheet!I166/Datasheet!E166</f>
        <v>0.25615085249250991</v>
      </c>
      <c r="F166" s="116">
        <f>(Datasheet!E166-Datasheet!D166)/Datasheet!D166</f>
        <v>8.7190714545048717E-2</v>
      </c>
      <c r="G166" s="116">
        <f>(Datasheet!G166-Datasheet!F166)/Datasheet!F166</f>
        <v>6.2294470809041741E-2</v>
      </c>
      <c r="H166" s="116">
        <f>(Datasheet!I166-Datasheet!H166)/Datasheet!H166</f>
        <v>0.16658600311383692</v>
      </c>
      <c r="I166" s="116">
        <f>(Datasheet!K166-Datasheet!J166)/Datasheet!J166</f>
        <v>0.19276400193943971</v>
      </c>
      <c r="J166" s="116">
        <f>Datasheet!F166/Datasheet!D166</f>
        <v>0.76128221356220038</v>
      </c>
      <c r="K166" s="116">
        <f>Datasheet!H166/Datasheet!D166</f>
        <v>0.23871778643779965</v>
      </c>
      <c r="L166" s="116">
        <f>Datasheet!R166/Datasheet!Q166</f>
        <v>0.87723024638912495</v>
      </c>
      <c r="M166" s="117">
        <f>(Datasheet!AB166-Datasheet!AA166)/Datasheet!AA166</f>
        <v>6.0008354879136513E-2</v>
      </c>
      <c r="N166" s="118">
        <f>Datasheet!AC166/Datasheet!E166</f>
        <v>1.6297522827453705E-2</v>
      </c>
      <c r="O166" s="111">
        <f>SUM(Datasheet!AD166:AG166)</f>
        <v>12365</v>
      </c>
      <c r="P166" s="111">
        <f>SUM(Datasheet!AH166:AK166)</f>
        <v>5730</v>
      </c>
      <c r="Q166" s="111">
        <f t="shared" si="3"/>
        <v>18095</v>
      </c>
      <c r="R166" s="118">
        <f>Q166/Datasheet!AC166</f>
        <v>0.14878921185708999</v>
      </c>
      <c r="S166" s="118">
        <f>Datasheet!AL166/Datasheet!G166</f>
        <v>7.9701171052332896E-3</v>
      </c>
      <c r="T166" s="118">
        <f>Datasheet!AM166/Datasheet!I166</f>
        <v>4.0479888754202976E-2</v>
      </c>
      <c r="U166" s="119">
        <f>O166/Datasheet!AL166</f>
        <v>0.27949819168173601</v>
      </c>
      <c r="V166" s="119">
        <f>P166/Datasheet!AM166</f>
        <v>7.4054927302100157E-2</v>
      </c>
      <c r="W166" s="120">
        <f>((Datasheet!AP166-Datasheet!AO166)/Datasheet!AO166)*100</f>
        <v>6.5003044546098634</v>
      </c>
      <c r="X166" s="119">
        <f>Datasheet!AQ166/Datasheet!AR166</f>
        <v>0.53531357443694805</v>
      </c>
      <c r="Y166" s="111">
        <f>Datasheet!AV166+Datasheet!AS166</f>
        <v>1994761</v>
      </c>
      <c r="Z166" s="117">
        <f>Datasheet!AW166/(Datasheet!AS166+Datasheet!AV166)</f>
        <v>0.64086725176600101</v>
      </c>
      <c r="AA166" s="111">
        <f>Datasheet!AX166+Datasheet!AT166</f>
        <v>2221020</v>
      </c>
      <c r="AB166" s="119">
        <f>Datasheet!AY166/(Datasheet!AT166+Datasheet!AX166)</f>
        <v>0.61738480517960215</v>
      </c>
      <c r="AC166" s="119">
        <f>Datasheet!AU166/(Datasheet!AU166+Datasheet!AZ166)</f>
        <v>0.95313365748133938</v>
      </c>
      <c r="AD166" s="119">
        <f>Datasheet!AZ166/(Datasheet!AU166+Datasheet!AZ166)</f>
        <v>4.686634251866062E-2</v>
      </c>
      <c r="AE166" s="117">
        <f>(Datasheet!BB166-Datasheet!BA166)/Datasheet!BA166</f>
        <v>9.8378023361148495E-2</v>
      </c>
      <c r="AF166" s="118">
        <f>(Datasheet!AX166+Datasheet!AT166)/Datasheet!BB166</f>
        <v>0.56658384395997985</v>
      </c>
      <c r="AG166" s="111">
        <f>(Datasheet!AP166*1000)/Datasheet!E166</f>
        <v>664.95474443985984</v>
      </c>
      <c r="AH166" s="119">
        <f>Datasheet!BW166/SUM(Datasheet!$BW166:$BZ166)</f>
        <v>0.71886198284287106</v>
      </c>
      <c r="AI166" s="119">
        <f>Datasheet!BX166/SUM(Datasheet!$BW166:$BZ166)</f>
        <v>8.6220002171788462E-2</v>
      </c>
      <c r="AJ166" s="119">
        <f>Datasheet!BY166/SUM(Datasheet!$BW166:$BZ166)</f>
        <v>4.8105114561841675E-2</v>
      </c>
      <c r="AK166" s="119">
        <f>Datasheet!BZ166/SUM(Datasheet!$BW166:$BZ166)</f>
        <v>0.14681290042349876</v>
      </c>
      <c r="AL166" s="31">
        <f>Datasheet!BR166+Datasheet!BS166</f>
        <v>0</v>
      </c>
      <c r="AM166" s="31">
        <f>100-Datasheet!BV166</f>
        <v>100</v>
      </c>
      <c r="AN166" s="121">
        <f>(Datasheet!CL166-Datasheet!CK166)/Datasheet!CK166</f>
        <v>5.8116647674298146E-2</v>
      </c>
    </row>
    <row r="167" spans="1:40">
      <c r="A167" s="31" t="s">
        <v>562</v>
      </c>
      <c r="B167" s="31" t="s">
        <v>562</v>
      </c>
      <c r="C167" s="31" t="s">
        <v>563</v>
      </c>
      <c r="D167" s="116">
        <f>Datasheet!G167/Datasheet!E167</f>
        <v>0.71492958109438176</v>
      </c>
      <c r="E167" s="116">
        <f>Datasheet!I167/Datasheet!E167</f>
        <v>0.28507041890561824</v>
      </c>
      <c r="F167" s="116" t="e">
        <f>(Datasheet!E167-Datasheet!D167)/Datasheet!D167</f>
        <v>#VALUE!</v>
      </c>
      <c r="G167" s="116" t="e">
        <f>(Datasheet!G167-Datasheet!F167)/Datasheet!F167</f>
        <v>#VALUE!</v>
      </c>
      <c r="H167" s="116" t="e">
        <f>(Datasheet!I167-Datasheet!H167)/Datasheet!H167</f>
        <v>#VALUE!</v>
      </c>
      <c r="I167" s="116" t="e">
        <f>(Datasheet!K167-Datasheet!J167)/Datasheet!J167</f>
        <v>#VALUE!</v>
      </c>
      <c r="J167" s="116" t="e">
        <f>Datasheet!F167/Datasheet!D167</f>
        <v>#VALUE!</v>
      </c>
      <c r="K167" s="116" t="e">
        <f>Datasheet!H167/Datasheet!D167</f>
        <v>#VALUE!</v>
      </c>
      <c r="L167" s="116" t="e">
        <f>Datasheet!R167/Datasheet!Q167</f>
        <v>#VALUE!</v>
      </c>
      <c r="M167" s="117">
        <f>(Datasheet!AB167-Datasheet!AA167)/Datasheet!AA167</f>
        <v>3.6327109866008074E-2</v>
      </c>
      <c r="N167" s="118" t="e">
        <f>Datasheet!AC167/Datasheet!E167</f>
        <v>#VALUE!</v>
      </c>
      <c r="O167" s="111">
        <f>SUM(Datasheet!AD167:AG167)</f>
        <v>0</v>
      </c>
      <c r="P167" s="111">
        <f>SUM(Datasheet!AH167:AK167)</f>
        <v>0</v>
      </c>
      <c r="Q167" s="111">
        <f t="shared" si="3"/>
        <v>0</v>
      </c>
      <c r="R167" s="118" t="e">
        <f>Q167/Datasheet!AC167</f>
        <v>#VALUE!</v>
      </c>
      <c r="S167" s="118" t="e">
        <f>Datasheet!AL167/Datasheet!G167</f>
        <v>#VALUE!</v>
      </c>
      <c r="T167" s="118" t="e">
        <f>Datasheet!AM167/Datasheet!I167</f>
        <v>#VALUE!</v>
      </c>
      <c r="U167" s="119" t="e">
        <f>O167/Datasheet!AL167</f>
        <v>#VALUE!</v>
      </c>
      <c r="V167" s="119" t="e">
        <f>P167/Datasheet!AM167</f>
        <v>#VALUE!</v>
      </c>
      <c r="W167" s="120">
        <f>((Datasheet!AP167-Datasheet!AO167)/Datasheet!AO167)*100</f>
        <v>5.9249781544368361</v>
      </c>
      <c r="X167" s="119" t="e">
        <f>Datasheet!AQ167/Datasheet!AR167</f>
        <v>#VALUE!</v>
      </c>
      <c r="Y167" s="111">
        <f>Datasheet!AV167+Datasheet!AS167</f>
        <v>1355257</v>
      </c>
      <c r="Z167" s="117">
        <f>Datasheet!AW167/(Datasheet!AS167+Datasheet!AV167)</f>
        <v>0.60425660963197381</v>
      </c>
      <c r="AA167" s="111">
        <f>Datasheet!AX167+Datasheet!AT167</f>
        <v>1518029</v>
      </c>
      <c r="AB167" s="119">
        <f>Datasheet!AY167/(Datasheet!AT167+Datasheet!AX167)</f>
        <v>0.59947207859665397</v>
      </c>
      <c r="AC167" s="119">
        <f>Datasheet!AU167/(Datasheet!AU167+Datasheet!AZ167)</f>
        <v>0.95025403242917639</v>
      </c>
      <c r="AD167" s="119">
        <f>Datasheet!AZ167/(Datasheet!AU167+Datasheet!AZ167)</f>
        <v>4.9745967570823578E-2</v>
      </c>
      <c r="AE167" s="117">
        <f>(Datasheet!BB167-Datasheet!BA167)/Datasheet!BA167</f>
        <v>8.8086917862962744E-2</v>
      </c>
      <c r="AF167" s="118">
        <f>(Datasheet!AX167+Datasheet!AT167)/Datasheet!BB167</f>
        <v>0.57007701150159096</v>
      </c>
      <c r="AG167" s="111">
        <f>(Datasheet!AP167*1000)/Datasheet!E167</f>
        <v>686.99706719514791</v>
      </c>
      <c r="AH167" s="119">
        <f>Datasheet!BW167/SUM(Datasheet!$BW167:$BZ167)</f>
        <v>0.72057898049087477</v>
      </c>
      <c r="AI167" s="119">
        <f>Datasheet!BX167/SUM(Datasheet!$BW167:$BZ167)</f>
        <v>8.4959093769666455E-2</v>
      </c>
      <c r="AJ167" s="119">
        <f>Datasheet!BY167/SUM(Datasheet!$BW167:$BZ167)</f>
        <v>4.2794210195091255E-2</v>
      </c>
      <c r="AK167" s="119">
        <f>Datasheet!BZ167/SUM(Datasheet!$BW167:$BZ167)</f>
        <v>0.15166771554436753</v>
      </c>
      <c r="AL167" s="31">
        <f>Datasheet!BR167+Datasheet!BS167</f>
        <v>28</v>
      </c>
      <c r="AM167" s="31">
        <f>100-Datasheet!BV167</f>
        <v>26</v>
      </c>
      <c r="AN167" s="121">
        <f>(Datasheet!CL167-Datasheet!CK167)/Datasheet!CK167</f>
        <v>2.1475985942991018E-2</v>
      </c>
    </row>
    <row r="168" spans="1:40">
      <c r="A168" s="31" t="s">
        <v>564</v>
      </c>
      <c r="B168" s="31" t="s">
        <v>564</v>
      </c>
      <c r="C168" s="31" t="s">
        <v>565</v>
      </c>
      <c r="D168" s="116">
        <f>Datasheet!G168/Datasheet!E168</f>
        <v>0.75650711843607676</v>
      </c>
      <c r="E168" s="116">
        <f>Datasheet!I168/Datasheet!E168</f>
        <v>0.24349288156392321</v>
      </c>
      <c r="F168" s="116">
        <f>(Datasheet!E168-Datasheet!D168)/Datasheet!D168</f>
        <v>8.5098419511135698E-2</v>
      </c>
      <c r="G168" s="116">
        <f>(Datasheet!G168-Datasheet!F168)/Datasheet!F168</f>
        <v>6.9807886719110229E-2</v>
      </c>
      <c r="H168" s="116">
        <f>(Datasheet!I168-Datasheet!H168)/Datasheet!H168</f>
        <v>0.13552266154575918</v>
      </c>
      <c r="I168" s="116">
        <f>(Datasheet!K168-Datasheet!J168)/Datasheet!J168</f>
        <v>0.20014387221798108</v>
      </c>
      <c r="J168" s="116">
        <f>Datasheet!F168/Datasheet!D168</f>
        <v>0.76731971109448616</v>
      </c>
      <c r="K168" s="116">
        <f>Datasheet!H168/Datasheet!D168</f>
        <v>0.23268028890551379</v>
      </c>
      <c r="L168" s="116">
        <f>Datasheet!R168/Datasheet!Q168</f>
        <v>0.87643872714962767</v>
      </c>
      <c r="M168" s="117">
        <f>(Datasheet!AB168-Datasheet!AA168)/Datasheet!AA168</f>
        <v>4.3137637979876915E-2</v>
      </c>
      <c r="N168" s="118">
        <f>Datasheet!AC168/Datasheet!E168</f>
        <v>1.8849131481894661E-2</v>
      </c>
      <c r="O168" s="111">
        <f>SUM(Datasheet!AD168:AG168)</f>
        <v>9450</v>
      </c>
      <c r="P168" s="111">
        <f>SUM(Datasheet!AH168:AK168)</f>
        <v>4875</v>
      </c>
      <c r="Q168" s="111">
        <f t="shared" si="3"/>
        <v>14325</v>
      </c>
      <c r="R168" s="118">
        <f>Q168/Datasheet!AC168</f>
        <v>0.15585051406190503</v>
      </c>
      <c r="S168" s="118">
        <f>Datasheet!AL168/Datasheet!G168</f>
        <v>8.0536839979452393E-3</v>
      </c>
      <c r="T168" s="118">
        <f>Datasheet!AM168/Datasheet!I168</f>
        <v>5.2389466689462393E-2</v>
      </c>
      <c r="U168" s="119">
        <f>O168/Datasheet!AL168</f>
        <v>0.31807472231571859</v>
      </c>
      <c r="V168" s="119">
        <f>P168/Datasheet!AM168</f>
        <v>7.8369905956112859E-2</v>
      </c>
      <c r="W168" s="120">
        <f>((Datasheet!AP168-Datasheet!AO168)/Datasheet!AO168)*100</f>
        <v>8.4567254719250826</v>
      </c>
      <c r="X168" s="119" t="e">
        <f>Datasheet!AQ168/Datasheet!AR168</f>
        <v>#VALUE!</v>
      </c>
      <c r="Y168" s="111">
        <f>Datasheet!AV168+Datasheet!AS168</f>
        <v>1302650</v>
      </c>
      <c r="Z168" s="117">
        <f>Datasheet!AW168/(Datasheet!AS168+Datasheet!AV168)</f>
        <v>0.57070817180363109</v>
      </c>
      <c r="AA168" s="111">
        <f>Datasheet!AX168+Datasheet!AT168</f>
        <v>1510916</v>
      </c>
      <c r="AB168" s="119">
        <f>Datasheet!AY168/(Datasheet!AT168+Datasheet!AX168)</f>
        <v>0.62905614872037885</v>
      </c>
      <c r="AC168" s="119">
        <f>Datasheet!AU168/(Datasheet!AU168+Datasheet!AZ168)</f>
        <v>0.96190647634709681</v>
      </c>
      <c r="AD168" s="119">
        <f>Datasheet!AZ168/(Datasheet!AU168+Datasheet!AZ168)</f>
        <v>3.8093523652903138E-2</v>
      </c>
      <c r="AE168" s="117">
        <f>(Datasheet!BB168-Datasheet!BA168)/Datasheet!BA168</f>
        <v>0.11006629301039379</v>
      </c>
      <c r="AF168" s="118">
        <f>(Datasheet!AX168+Datasheet!AT168)/Datasheet!BB168</f>
        <v>0.59386403334313331</v>
      </c>
      <c r="AG168" s="111">
        <f>(Datasheet!AP168*1000)/Datasheet!E168</f>
        <v>677.63278778890447</v>
      </c>
      <c r="AH168" s="119">
        <f>Datasheet!BW168/SUM(Datasheet!$BW168:$BZ168)</f>
        <v>0.74444791992492965</v>
      </c>
      <c r="AI168" s="119">
        <f>Datasheet!BX168/SUM(Datasheet!$BW168:$BZ168)</f>
        <v>7.9136690647482008E-2</v>
      </c>
      <c r="AJ168" s="119">
        <f>Datasheet!BY168/SUM(Datasheet!$BW168:$BZ168)</f>
        <v>4.1288708163903662E-2</v>
      </c>
      <c r="AK168" s="119">
        <f>Datasheet!BZ168/SUM(Datasheet!$BW168:$BZ168)</f>
        <v>0.13512668126368471</v>
      </c>
      <c r="AL168" s="31">
        <f>Datasheet!BR168+Datasheet!BS168</f>
        <v>30</v>
      </c>
      <c r="AM168" s="31">
        <f>100-Datasheet!BV168</f>
        <v>40</v>
      </c>
      <c r="AN168" s="121">
        <f>(Datasheet!CL168-Datasheet!CK168)/Datasheet!CK168</f>
        <v>-6.1983471074380167E-3</v>
      </c>
    </row>
    <row r="169" spans="1:40">
      <c r="A169" s="31" t="s">
        <v>566</v>
      </c>
      <c r="B169" s="31" t="s">
        <v>566</v>
      </c>
      <c r="C169" s="31" t="s">
        <v>567</v>
      </c>
      <c r="D169" s="116">
        <f>Datasheet!G169/Datasheet!E169</f>
        <v>0.75200368160909015</v>
      </c>
      <c r="E169" s="116">
        <f>Datasheet!I169/Datasheet!E169</f>
        <v>0.24799631839090983</v>
      </c>
      <c r="F169" s="116">
        <f>(Datasheet!E169-Datasheet!D169)/Datasheet!D169</f>
        <v>6.4348793241880836E-2</v>
      </c>
      <c r="G169" s="116">
        <f>(Datasheet!G169-Datasheet!F169)/Datasheet!F169</f>
        <v>3.8207827518180575E-2</v>
      </c>
      <c r="H169" s="116">
        <f>(Datasheet!I169-Datasheet!H169)/Datasheet!H169</f>
        <v>0.15232978417681164</v>
      </c>
      <c r="I169" s="116">
        <f>(Datasheet!K169-Datasheet!J169)/Datasheet!J169</f>
        <v>0.19033582912152067</v>
      </c>
      <c r="J169" s="116">
        <f>Datasheet!F169/Datasheet!D169</f>
        <v>0.77093833220985863</v>
      </c>
      <c r="K169" s="116">
        <f>Datasheet!H169/Datasheet!D169</f>
        <v>0.22906166779014137</v>
      </c>
      <c r="L169" s="116">
        <f>Datasheet!R169/Datasheet!Q169</f>
        <v>0.87270424319189366</v>
      </c>
      <c r="M169" s="117">
        <f>(Datasheet!AB169-Datasheet!AA169)/Datasheet!AA169</f>
        <v>5.0985991267821301E-2</v>
      </c>
      <c r="N169" s="118">
        <f>Datasheet!AC169/Datasheet!E169</f>
        <v>1.9226033019653203E-2</v>
      </c>
      <c r="O169" s="111">
        <f>SUM(Datasheet!AD169:AG169)</f>
        <v>10745</v>
      </c>
      <c r="P169" s="111">
        <f>SUM(Datasheet!AH169:AK169)</f>
        <v>3905</v>
      </c>
      <c r="Q169" s="111">
        <f t="shared" si="3"/>
        <v>14650</v>
      </c>
      <c r="R169" s="118">
        <f>Q169/Datasheet!AC169</f>
        <v>0.16891502363657326</v>
      </c>
      <c r="S169" s="118">
        <f>Datasheet!AL169/Datasheet!G169</f>
        <v>8.8434479778277068E-3</v>
      </c>
      <c r="T169" s="118">
        <f>Datasheet!AM169/Datasheet!I169</f>
        <v>5.0709331750584813E-2</v>
      </c>
      <c r="U169" s="119">
        <f>O169/Datasheet!AL169</f>
        <v>0.35816666666666669</v>
      </c>
      <c r="V169" s="119">
        <f>P169/Datasheet!AM169</f>
        <v>6.8834831658734358E-2</v>
      </c>
      <c r="W169" s="120">
        <f>((Datasheet!AP169-Datasheet!AO169)/Datasheet!AO169)*100</f>
        <v>10.292789345810229</v>
      </c>
      <c r="X169" s="119">
        <f>Datasheet!AQ169/Datasheet!AR169</f>
        <v>0.48995056957832278</v>
      </c>
      <c r="Y169" s="111">
        <f>Datasheet!AV169+Datasheet!AS169</f>
        <v>1267307</v>
      </c>
      <c r="Z169" s="117">
        <f>Datasheet!AW169/(Datasheet!AS169+Datasheet!AV169)</f>
        <v>0.59892670047589103</v>
      </c>
      <c r="AA169" s="111">
        <f>Datasheet!AX169+Datasheet!AT169</f>
        <v>1450273</v>
      </c>
      <c r="AB169" s="119">
        <f>Datasheet!AY169/(Datasheet!AT169+Datasheet!AX169)</f>
        <v>0.58980895321087823</v>
      </c>
      <c r="AC169" s="119">
        <f>Datasheet!AU169/(Datasheet!AU169+Datasheet!AZ169)</f>
        <v>0.94794119450322378</v>
      </c>
      <c r="AD169" s="119">
        <f>Datasheet!AZ169/(Datasheet!AU169+Datasheet!AZ169)</f>
        <v>5.2058805496776203E-2</v>
      </c>
      <c r="AE169" s="117">
        <f>(Datasheet!BB169-Datasheet!BA169)/Datasheet!BA169</f>
        <v>0.11424665046172991</v>
      </c>
      <c r="AF169" s="118">
        <f>(Datasheet!AX169+Datasheet!AT169)/Datasheet!BB169</f>
        <v>0.60079480547026332</v>
      </c>
      <c r="AG169" s="111">
        <f>(Datasheet!AP169*1000)/Datasheet!E169</f>
        <v>715.68747199944312</v>
      </c>
      <c r="AH169" s="119">
        <f>Datasheet!BW169/SUM(Datasheet!$BW169:$BZ169)</f>
        <v>0.73109388458225666</v>
      </c>
      <c r="AI169" s="119">
        <f>Datasheet!BX169/SUM(Datasheet!$BW169:$BZ169)</f>
        <v>8.7510766580534027E-2</v>
      </c>
      <c r="AJ169" s="119">
        <f>Datasheet!BY169/SUM(Datasheet!$BW169:$BZ169)</f>
        <v>4.0137812230835485E-2</v>
      </c>
      <c r="AK169" s="119">
        <f>Datasheet!BZ169/SUM(Datasheet!$BW169:$BZ169)</f>
        <v>0.14125753660637383</v>
      </c>
      <c r="AL169" s="31">
        <f>Datasheet!BR169+Datasheet!BS169</f>
        <v>20</v>
      </c>
      <c r="AM169" s="31">
        <f>100-Datasheet!BV169</f>
        <v>26</v>
      </c>
      <c r="AN169" s="121">
        <f>(Datasheet!CL169-Datasheet!CK169)/Datasheet!CK169</f>
        <v>4.9407532797291577E-2</v>
      </c>
    </row>
    <row r="170" spans="1:40">
      <c r="O170" s="111"/>
      <c r="P170" s="111"/>
      <c r="Q170" s="111"/>
    </row>
    <row r="171" spans="1:40">
      <c r="A171" s="31"/>
    </row>
    <row r="172" spans="1:40">
      <c r="A172" s="112"/>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D7536-B379-446C-8889-337E94DF4C39}">
  <dimension ref="A1:E86"/>
  <sheetViews>
    <sheetView topLeftCell="A55" workbookViewId="0">
      <selection activeCell="C38" sqref="C38"/>
    </sheetView>
  </sheetViews>
  <sheetFormatPr defaultRowHeight="14"/>
  <cols>
    <col min="1" max="1" width="31.54296875" style="129" bestFit="1" customWidth="1"/>
    <col min="2" max="2" width="49.453125" style="129" bestFit="1" customWidth="1"/>
    <col min="3" max="3" width="105.90625" style="129" customWidth="1"/>
    <col min="4" max="4" width="12.81640625" style="129" bestFit="1" customWidth="1"/>
    <col min="5" max="5" width="8.7265625" style="129"/>
    <col min="6" max="16384" width="8.7265625" style="31"/>
  </cols>
  <sheetData>
    <row r="1" spans="1:5">
      <c r="A1" s="128" t="s">
        <v>738</v>
      </c>
      <c r="B1" s="128" t="s">
        <v>739</v>
      </c>
      <c r="C1" s="128" t="s">
        <v>756</v>
      </c>
      <c r="D1" s="128" t="s">
        <v>757</v>
      </c>
      <c r="E1" s="137" t="s">
        <v>734</v>
      </c>
    </row>
    <row r="2" spans="1:5">
      <c r="A2" s="129" t="s">
        <v>748</v>
      </c>
      <c r="B2" s="129" t="s">
        <v>751</v>
      </c>
      <c r="C2" s="129" t="s">
        <v>758</v>
      </c>
      <c r="D2" s="129" t="s">
        <v>759</v>
      </c>
      <c r="E2" s="138" t="s">
        <v>760</v>
      </c>
    </row>
    <row r="3" spans="1:5">
      <c r="A3" s="129" t="s">
        <v>748</v>
      </c>
      <c r="B3" s="129" t="s">
        <v>751</v>
      </c>
      <c r="C3" s="129" t="s">
        <v>761</v>
      </c>
      <c r="D3" s="129" t="s">
        <v>759</v>
      </c>
      <c r="E3" s="138" t="s">
        <v>762</v>
      </c>
    </row>
    <row r="4" spans="1:5">
      <c r="A4" s="129" t="s">
        <v>748</v>
      </c>
      <c r="B4" s="129" t="s">
        <v>751</v>
      </c>
      <c r="C4" s="129" t="s">
        <v>763</v>
      </c>
      <c r="D4" s="129" t="s">
        <v>759</v>
      </c>
      <c r="E4" s="138" t="s">
        <v>764</v>
      </c>
    </row>
    <row r="5" spans="1:5">
      <c r="A5" s="129" t="s">
        <v>748</v>
      </c>
      <c r="B5" s="129" t="s">
        <v>751</v>
      </c>
      <c r="C5" s="129" t="s">
        <v>765</v>
      </c>
      <c r="D5" s="129" t="s">
        <v>759</v>
      </c>
      <c r="E5" s="138" t="s">
        <v>766</v>
      </c>
    </row>
    <row r="6" spans="1:5">
      <c r="A6" s="129" t="s">
        <v>748</v>
      </c>
      <c r="B6" s="129" t="s">
        <v>749</v>
      </c>
      <c r="C6" s="129" t="s">
        <v>767</v>
      </c>
      <c r="D6" s="129" t="s">
        <v>768</v>
      </c>
      <c r="E6" s="138" t="s">
        <v>769</v>
      </c>
    </row>
    <row r="7" spans="1:5">
      <c r="A7" s="129" t="s">
        <v>748</v>
      </c>
      <c r="B7" s="129" t="s">
        <v>751</v>
      </c>
      <c r="C7" s="129" t="s">
        <v>770</v>
      </c>
      <c r="D7" s="129" t="s">
        <v>759</v>
      </c>
      <c r="E7" s="138" t="s">
        <v>771</v>
      </c>
    </row>
    <row r="8" spans="1:5">
      <c r="A8" s="129" t="s">
        <v>748</v>
      </c>
      <c r="B8" s="129" t="s">
        <v>750</v>
      </c>
      <c r="C8" s="129" t="s">
        <v>772</v>
      </c>
      <c r="D8" s="129" t="s">
        <v>773</v>
      </c>
      <c r="E8" s="138" t="s">
        <v>774</v>
      </c>
    </row>
    <row r="9" spans="1:5">
      <c r="A9" s="129" t="s">
        <v>748</v>
      </c>
      <c r="B9" s="129" t="s">
        <v>750</v>
      </c>
      <c r="C9" s="129" t="s">
        <v>775</v>
      </c>
      <c r="D9" s="129" t="s">
        <v>773</v>
      </c>
      <c r="E9" s="138" t="s">
        <v>776</v>
      </c>
    </row>
    <row r="10" spans="1:5">
      <c r="A10" s="129" t="s">
        <v>748</v>
      </c>
      <c r="B10" s="129" t="s">
        <v>750</v>
      </c>
      <c r="C10" s="129" t="s">
        <v>777</v>
      </c>
      <c r="D10" s="129" t="s">
        <v>778</v>
      </c>
      <c r="E10" s="138" t="s">
        <v>779</v>
      </c>
    </row>
    <row r="11" spans="1:5">
      <c r="A11" s="129" t="s">
        <v>748</v>
      </c>
      <c r="B11" s="129" t="s">
        <v>750</v>
      </c>
      <c r="C11" s="129" t="s">
        <v>780</v>
      </c>
      <c r="D11" s="129" t="s">
        <v>778</v>
      </c>
      <c r="E11" s="138" t="s">
        <v>781</v>
      </c>
    </row>
    <row r="12" spans="1:5">
      <c r="A12" s="129" t="s">
        <v>742</v>
      </c>
      <c r="B12" s="129" t="s">
        <v>743</v>
      </c>
      <c r="C12" s="129" t="s">
        <v>782</v>
      </c>
      <c r="D12" s="129" t="s">
        <v>783</v>
      </c>
      <c r="E12" s="138" t="s">
        <v>784</v>
      </c>
    </row>
    <row r="13" spans="1:5">
      <c r="A13" s="129" t="s">
        <v>742</v>
      </c>
      <c r="B13" s="129" t="s">
        <v>743</v>
      </c>
      <c r="C13" s="129" t="s">
        <v>785</v>
      </c>
      <c r="D13" s="129" t="s">
        <v>783</v>
      </c>
      <c r="E13" s="138" t="s">
        <v>786</v>
      </c>
    </row>
    <row r="14" spans="1:5">
      <c r="A14" s="129" t="s">
        <v>748</v>
      </c>
      <c r="B14" s="129" t="s">
        <v>749</v>
      </c>
      <c r="C14" s="129" t="s">
        <v>787</v>
      </c>
      <c r="D14" s="129" t="s">
        <v>788</v>
      </c>
      <c r="E14" s="138" t="s">
        <v>789</v>
      </c>
    </row>
    <row r="15" spans="1:5">
      <c r="A15" s="129" t="s">
        <v>748</v>
      </c>
      <c r="B15" s="129" t="s">
        <v>749</v>
      </c>
      <c r="C15" s="129" t="s">
        <v>790</v>
      </c>
      <c r="D15" s="129" t="s">
        <v>791</v>
      </c>
      <c r="E15" s="138" t="s">
        <v>792</v>
      </c>
    </row>
    <row r="16" spans="1:5">
      <c r="A16" s="129" t="s">
        <v>748</v>
      </c>
      <c r="B16" s="129" t="s">
        <v>749</v>
      </c>
      <c r="C16" s="129" t="s">
        <v>793</v>
      </c>
      <c r="D16" s="129" t="s">
        <v>768</v>
      </c>
      <c r="E16" s="138" t="s">
        <v>794</v>
      </c>
    </row>
    <row r="17" spans="1:5">
      <c r="A17" s="129" t="s">
        <v>748</v>
      </c>
      <c r="B17" s="129" t="s">
        <v>749</v>
      </c>
      <c r="C17" s="129" t="s">
        <v>795</v>
      </c>
      <c r="D17" s="129" t="s">
        <v>791</v>
      </c>
      <c r="E17" s="138" t="s">
        <v>796</v>
      </c>
    </row>
    <row r="18" spans="1:5">
      <c r="A18" s="129" t="s">
        <v>748</v>
      </c>
      <c r="B18" s="129" t="s">
        <v>749</v>
      </c>
      <c r="C18" s="129" t="s">
        <v>797</v>
      </c>
      <c r="D18" s="129" t="s">
        <v>768</v>
      </c>
      <c r="E18" s="138" t="s">
        <v>798</v>
      </c>
    </row>
    <row r="19" spans="1:5">
      <c r="A19" s="129" t="s">
        <v>748</v>
      </c>
      <c r="B19" s="129" t="s">
        <v>749</v>
      </c>
      <c r="C19" s="129" t="s">
        <v>799</v>
      </c>
      <c r="D19" s="129" t="s">
        <v>768</v>
      </c>
      <c r="E19" s="138" t="s">
        <v>800</v>
      </c>
    </row>
    <row r="20" spans="1:5">
      <c r="A20" s="129" t="s">
        <v>748</v>
      </c>
      <c r="B20" s="129" t="s">
        <v>749</v>
      </c>
      <c r="C20" s="129" t="s">
        <v>801</v>
      </c>
      <c r="D20" s="129" t="s">
        <v>768</v>
      </c>
      <c r="E20" s="138" t="s">
        <v>802</v>
      </c>
    </row>
    <row r="21" spans="1:5">
      <c r="A21" s="129" t="s">
        <v>740</v>
      </c>
      <c r="B21" s="129" t="s">
        <v>741</v>
      </c>
      <c r="C21" s="129" t="s">
        <v>803</v>
      </c>
      <c r="D21" s="129" t="s">
        <v>804</v>
      </c>
      <c r="E21" s="138" t="s">
        <v>805</v>
      </c>
    </row>
    <row r="22" spans="1:5">
      <c r="A22" s="129" t="s">
        <v>742</v>
      </c>
      <c r="B22" s="129" t="s">
        <v>743</v>
      </c>
      <c r="C22" s="129" t="s">
        <v>806</v>
      </c>
      <c r="D22" s="129" t="s">
        <v>807</v>
      </c>
      <c r="E22" s="138" t="s">
        <v>808</v>
      </c>
    </row>
    <row r="23" spans="1:5">
      <c r="A23" s="129" t="s">
        <v>742</v>
      </c>
      <c r="B23" s="129" t="s">
        <v>743</v>
      </c>
      <c r="C23" s="129" t="s">
        <v>809</v>
      </c>
      <c r="D23" s="129" t="s">
        <v>807</v>
      </c>
      <c r="E23" s="138" t="s">
        <v>810</v>
      </c>
    </row>
    <row r="24" spans="1:5">
      <c r="A24" s="129" t="s">
        <v>742</v>
      </c>
      <c r="B24" s="129" t="s">
        <v>743</v>
      </c>
      <c r="C24" s="129" t="s">
        <v>811</v>
      </c>
      <c r="D24" s="129" t="s">
        <v>807</v>
      </c>
      <c r="E24" s="138" t="s">
        <v>812</v>
      </c>
    </row>
    <row r="25" spans="1:5">
      <c r="A25" s="129" t="s">
        <v>742</v>
      </c>
      <c r="B25" s="129" t="s">
        <v>743</v>
      </c>
      <c r="C25" s="129" t="s">
        <v>813</v>
      </c>
      <c r="D25" s="129" t="s">
        <v>807</v>
      </c>
      <c r="E25" s="138" t="s">
        <v>814</v>
      </c>
    </row>
    <row r="26" spans="1:5">
      <c r="A26" s="129" t="s">
        <v>742</v>
      </c>
      <c r="B26" s="129" t="s">
        <v>743</v>
      </c>
      <c r="C26" s="129" t="s">
        <v>815</v>
      </c>
      <c r="D26" s="129" t="s">
        <v>816</v>
      </c>
      <c r="E26" s="138" t="s">
        <v>817</v>
      </c>
    </row>
    <row r="27" spans="1:5">
      <c r="A27" s="129" t="s">
        <v>742</v>
      </c>
      <c r="B27" s="129" t="s">
        <v>743</v>
      </c>
      <c r="C27" s="129" t="s">
        <v>818</v>
      </c>
      <c r="D27" s="129" t="s">
        <v>807</v>
      </c>
      <c r="E27" s="138" t="s">
        <v>819</v>
      </c>
    </row>
    <row r="28" spans="1:5">
      <c r="A28" s="129" t="s">
        <v>742</v>
      </c>
      <c r="B28" s="129" t="s">
        <v>743</v>
      </c>
      <c r="C28" s="129" t="s">
        <v>820</v>
      </c>
      <c r="D28" s="129" t="s">
        <v>807</v>
      </c>
      <c r="E28" s="138" t="s">
        <v>821</v>
      </c>
    </row>
    <row r="29" spans="1:5">
      <c r="A29" s="129" t="s">
        <v>742</v>
      </c>
      <c r="B29" s="129" t="s">
        <v>743</v>
      </c>
      <c r="C29" s="129" t="s">
        <v>822</v>
      </c>
      <c r="D29" s="129" t="s">
        <v>807</v>
      </c>
      <c r="E29" s="138" t="s">
        <v>823</v>
      </c>
    </row>
    <row r="30" spans="1:5">
      <c r="A30" s="129" t="s">
        <v>742</v>
      </c>
      <c r="B30" s="129" t="s">
        <v>743</v>
      </c>
      <c r="C30" s="129" t="s">
        <v>824</v>
      </c>
      <c r="D30" s="129" t="s">
        <v>816</v>
      </c>
      <c r="E30" s="138" t="s">
        <v>825</v>
      </c>
    </row>
    <row r="31" spans="1:5">
      <c r="A31" s="129" t="s">
        <v>742</v>
      </c>
      <c r="B31" s="129" t="s">
        <v>743</v>
      </c>
      <c r="C31" s="129" t="s">
        <v>826</v>
      </c>
      <c r="D31" s="129" t="s">
        <v>807</v>
      </c>
      <c r="E31" s="138" t="s">
        <v>827</v>
      </c>
    </row>
    <row r="32" spans="1:5">
      <c r="A32" s="129" t="s">
        <v>742</v>
      </c>
      <c r="B32" s="129" t="s">
        <v>743</v>
      </c>
      <c r="C32" s="129" t="s">
        <v>828</v>
      </c>
      <c r="D32" s="129" t="s">
        <v>807</v>
      </c>
      <c r="E32" s="138" t="s">
        <v>829</v>
      </c>
    </row>
    <row r="33" spans="1:5">
      <c r="A33" s="129" t="s">
        <v>742</v>
      </c>
      <c r="B33" s="129" t="s">
        <v>744</v>
      </c>
      <c r="C33" s="129" t="s">
        <v>830</v>
      </c>
      <c r="D33" s="129" t="s">
        <v>831</v>
      </c>
      <c r="E33" s="138" t="s">
        <v>832</v>
      </c>
    </row>
    <row r="34" spans="1:5">
      <c r="A34" s="129" t="s">
        <v>742</v>
      </c>
      <c r="B34" s="129" t="s">
        <v>743</v>
      </c>
      <c r="C34" s="129" t="s">
        <v>833</v>
      </c>
      <c r="D34" s="129" t="s">
        <v>807</v>
      </c>
      <c r="E34" s="138" t="s">
        <v>834</v>
      </c>
    </row>
    <row r="35" spans="1:5">
      <c r="A35" s="129" t="s">
        <v>745</v>
      </c>
      <c r="B35" s="129" t="s">
        <v>747</v>
      </c>
      <c r="C35" s="129" t="s">
        <v>835</v>
      </c>
      <c r="D35" s="129" t="s">
        <v>836</v>
      </c>
      <c r="E35" s="138" t="s">
        <v>837</v>
      </c>
    </row>
    <row r="36" spans="1:5">
      <c r="A36" s="129" t="s">
        <v>745</v>
      </c>
      <c r="B36" s="129" t="s">
        <v>746</v>
      </c>
      <c r="C36" s="129" t="s">
        <v>838</v>
      </c>
      <c r="D36" s="129" t="s">
        <v>836</v>
      </c>
      <c r="E36" s="138" t="s">
        <v>839</v>
      </c>
    </row>
    <row r="37" spans="1:5">
      <c r="A37" s="129" t="s">
        <v>742</v>
      </c>
      <c r="B37" s="129" t="s">
        <v>743</v>
      </c>
      <c r="C37" s="129" t="s">
        <v>840</v>
      </c>
      <c r="D37" s="129" t="s">
        <v>807</v>
      </c>
      <c r="E37" s="138" t="s">
        <v>841</v>
      </c>
    </row>
    <row r="38" spans="1:5">
      <c r="A38" s="129" t="s">
        <v>742</v>
      </c>
      <c r="B38" s="129" t="s">
        <v>743</v>
      </c>
      <c r="C38" s="129" t="s">
        <v>842</v>
      </c>
      <c r="D38" s="129" t="s">
        <v>807</v>
      </c>
      <c r="E38" s="138" t="s">
        <v>843</v>
      </c>
    </row>
    <row r="39" spans="1:5">
      <c r="A39" s="129" t="s">
        <v>742</v>
      </c>
      <c r="B39" s="129" t="s">
        <v>743</v>
      </c>
      <c r="C39" s="129" t="s">
        <v>844</v>
      </c>
      <c r="D39" s="129" t="s">
        <v>807</v>
      </c>
      <c r="E39" s="138" t="s">
        <v>845</v>
      </c>
    </row>
    <row r="40" spans="1:5">
      <c r="A40" s="129" t="s">
        <v>742</v>
      </c>
      <c r="B40" s="129" t="s">
        <v>743</v>
      </c>
      <c r="C40" s="129" t="s">
        <v>846</v>
      </c>
      <c r="D40" s="129" t="s">
        <v>807</v>
      </c>
      <c r="E40" s="138" t="s">
        <v>847</v>
      </c>
    </row>
    <row r="41" spans="1:5">
      <c r="A41" s="129" t="s">
        <v>742</v>
      </c>
      <c r="B41" s="129" t="s">
        <v>743</v>
      </c>
      <c r="C41" s="129" t="s">
        <v>848</v>
      </c>
      <c r="D41" s="129" t="s">
        <v>807</v>
      </c>
      <c r="E41" s="138" t="s">
        <v>849</v>
      </c>
    </row>
    <row r="42" spans="1:5">
      <c r="A42" s="129" t="s">
        <v>742</v>
      </c>
      <c r="B42" s="129" t="s">
        <v>743</v>
      </c>
      <c r="C42" s="129" t="s">
        <v>850</v>
      </c>
      <c r="D42" s="129" t="s">
        <v>807</v>
      </c>
      <c r="E42" s="138" t="s">
        <v>851</v>
      </c>
    </row>
    <row r="43" spans="1:5">
      <c r="A43" s="129" t="s">
        <v>742</v>
      </c>
      <c r="B43" s="129" t="s">
        <v>743</v>
      </c>
      <c r="C43" s="129" t="s">
        <v>852</v>
      </c>
      <c r="D43" s="129" t="s">
        <v>807</v>
      </c>
      <c r="E43" s="138" t="s">
        <v>853</v>
      </c>
    </row>
    <row r="44" spans="1:5">
      <c r="A44" s="129" t="s">
        <v>742</v>
      </c>
      <c r="B44" s="129" t="s">
        <v>743</v>
      </c>
      <c r="C44" s="129" t="s">
        <v>854</v>
      </c>
      <c r="D44" s="129" t="s">
        <v>807</v>
      </c>
      <c r="E44" s="138" t="s">
        <v>855</v>
      </c>
    </row>
    <row r="45" spans="1:5">
      <c r="A45" s="129" t="s">
        <v>742</v>
      </c>
      <c r="B45" s="129" t="s">
        <v>743</v>
      </c>
      <c r="C45" s="129" t="s">
        <v>856</v>
      </c>
      <c r="D45" s="129" t="s">
        <v>807</v>
      </c>
      <c r="E45" s="138" t="s">
        <v>857</v>
      </c>
    </row>
    <row r="46" spans="1:5">
      <c r="A46" s="129" t="s">
        <v>742</v>
      </c>
      <c r="B46" s="129" t="s">
        <v>743</v>
      </c>
      <c r="C46" s="129" t="s">
        <v>858</v>
      </c>
      <c r="D46" s="129" t="s">
        <v>807</v>
      </c>
      <c r="E46" s="138" t="s">
        <v>859</v>
      </c>
    </row>
    <row r="47" spans="1:5">
      <c r="A47" s="129" t="s">
        <v>742</v>
      </c>
      <c r="B47" s="129" t="s">
        <v>743</v>
      </c>
      <c r="C47" s="129" t="s">
        <v>860</v>
      </c>
      <c r="D47" s="129" t="s">
        <v>807</v>
      </c>
      <c r="E47" s="138" t="s">
        <v>861</v>
      </c>
    </row>
    <row r="48" spans="1:5">
      <c r="A48" s="129" t="s">
        <v>742</v>
      </c>
      <c r="B48" s="129" t="s">
        <v>743</v>
      </c>
      <c r="C48" s="129" t="s">
        <v>862</v>
      </c>
      <c r="D48" s="129" t="s">
        <v>759</v>
      </c>
      <c r="E48" s="138" t="s">
        <v>863</v>
      </c>
    </row>
    <row r="49" spans="1:5">
      <c r="A49" s="129" t="s">
        <v>742</v>
      </c>
      <c r="B49" s="129" t="s">
        <v>743</v>
      </c>
      <c r="C49" s="129" t="s">
        <v>864</v>
      </c>
      <c r="D49" s="129" t="s">
        <v>759</v>
      </c>
      <c r="E49" s="138" t="s">
        <v>865</v>
      </c>
    </row>
    <row r="50" spans="1:5">
      <c r="A50" s="129" t="s">
        <v>742</v>
      </c>
      <c r="B50" s="129" t="s">
        <v>743</v>
      </c>
      <c r="C50" s="129" t="s">
        <v>866</v>
      </c>
      <c r="D50" s="129" t="s">
        <v>807</v>
      </c>
      <c r="E50" s="138" t="s">
        <v>867</v>
      </c>
    </row>
    <row r="51" spans="1:5">
      <c r="A51" s="129" t="s">
        <v>742</v>
      </c>
      <c r="B51" s="129" t="s">
        <v>743</v>
      </c>
      <c r="C51" s="129" t="s">
        <v>868</v>
      </c>
      <c r="D51" s="129" t="s">
        <v>807</v>
      </c>
      <c r="E51" s="138" t="s">
        <v>869</v>
      </c>
    </row>
    <row r="52" spans="1:5">
      <c r="A52" s="129" t="s">
        <v>742</v>
      </c>
      <c r="B52" s="129" t="s">
        <v>743</v>
      </c>
      <c r="C52" s="129" t="s">
        <v>870</v>
      </c>
      <c r="D52" s="129" t="s">
        <v>807</v>
      </c>
      <c r="E52" s="138" t="s">
        <v>871</v>
      </c>
    </row>
    <row r="53" spans="1:5">
      <c r="A53" s="129" t="s">
        <v>742</v>
      </c>
      <c r="B53" s="129" t="s">
        <v>743</v>
      </c>
      <c r="C53" s="129" t="s">
        <v>872</v>
      </c>
      <c r="D53" s="129" t="s">
        <v>807</v>
      </c>
      <c r="E53" s="138" t="s">
        <v>873</v>
      </c>
    </row>
    <row r="54" spans="1:5">
      <c r="A54" s="129" t="s">
        <v>742</v>
      </c>
      <c r="B54" s="129" t="s">
        <v>743</v>
      </c>
      <c r="C54" s="129" t="s">
        <v>874</v>
      </c>
      <c r="D54" s="129" t="s">
        <v>807</v>
      </c>
      <c r="E54" s="138" t="s">
        <v>875</v>
      </c>
    </row>
    <row r="55" spans="1:5">
      <c r="A55" s="129" t="s">
        <v>752</v>
      </c>
      <c r="B55" s="129" t="s">
        <v>753</v>
      </c>
      <c r="C55" s="129" t="s">
        <v>876</v>
      </c>
      <c r="D55" s="129" t="s">
        <v>877</v>
      </c>
      <c r="E55" s="138" t="s">
        <v>878</v>
      </c>
    </row>
    <row r="56" spans="1:5">
      <c r="A56" s="129" t="s">
        <v>752</v>
      </c>
      <c r="B56" s="129" t="s">
        <v>753</v>
      </c>
      <c r="C56" s="129" t="s">
        <v>879</v>
      </c>
      <c r="D56" s="129" t="s">
        <v>877</v>
      </c>
      <c r="E56" s="138" t="s">
        <v>880</v>
      </c>
    </row>
    <row r="57" spans="1:5">
      <c r="A57" s="129" t="s">
        <v>752</v>
      </c>
      <c r="B57" s="129" t="s">
        <v>753</v>
      </c>
      <c r="C57" s="129" t="s">
        <v>881</v>
      </c>
      <c r="D57" s="129" t="s">
        <v>877</v>
      </c>
      <c r="E57" s="138" t="s">
        <v>882</v>
      </c>
    </row>
    <row r="58" spans="1:5">
      <c r="A58" s="129" t="s">
        <v>752</v>
      </c>
      <c r="B58" s="129" t="s">
        <v>753</v>
      </c>
      <c r="C58" s="129" t="s">
        <v>883</v>
      </c>
      <c r="D58" s="129" t="s">
        <v>877</v>
      </c>
      <c r="E58" s="138" t="s">
        <v>884</v>
      </c>
    </row>
    <row r="59" spans="1:5">
      <c r="A59" s="129" t="s">
        <v>752</v>
      </c>
      <c r="B59" s="129" t="s">
        <v>753</v>
      </c>
      <c r="C59" s="129" t="s">
        <v>885</v>
      </c>
      <c r="D59" s="129" t="s">
        <v>877</v>
      </c>
      <c r="E59" s="138" t="s">
        <v>886</v>
      </c>
    </row>
    <row r="60" spans="1:5">
      <c r="A60" s="129" t="s">
        <v>752</v>
      </c>
      <c r="B60" s="129" t="s">
        <v>753</v>
      </c>
      <c r="C60" s="129" t="s">
        <v>887</v>
      </c>
      <c r="D60" s="129" t="s">
        <v>877</v>
      </c>
      <c r="E60" s="138" t="s">
        <v>888</v>
      </c>
    </row>
    <row r="61" spans="1:5">
      <c r="A61" s="129" t="s">
        <v>752</v>
      </c>
      <c r="B61" s="129" t="s">
        <v>753</v>
      </c>
      <c r="C61" s="129" t="s">
        <v>889</v>
      </c>
      <c r="D61" s="129" t="s">
        <v>877</v>
      </c>
      <c r="E61" s="138" t="s">
        <v>890</v>
      </c>
    </row>
    <row r="62" spans="1:5">
      <c r="A62" s="129" t="s">
        <v>752</v>
      </c>
      <c r="B62" s="129" t="s">
        <v>753</v>
      </c>
      <c r="C62" s="129" t="s">
        <v>891</v>
      </c>
      <c r="D62" s="129" t="s">
        <v>877</v>
      </c>
      <c r="E62" s="138" t="s">
        <v>892</v>
      </c>
    </row>
    <row r="63" spans="1:5">
      <c r="A63" s="129" t="s">
        <v>752</v>
      </c>
      <c r="B63" s="129" t="s">
        <v>753</v>
      </c>
      <c r="C63" s="129" t="s">
        <v>893</v>
      </c>
      <c r="D63" s="129" t="s">
        <v>877</v>
      </c>
      <c r="E63" s="138" t="s">
        <v>894</v>
      </c>
    </row>
    <row r="64" spans="1:5">
      <c r="A64" s="129" t="s">
        <v>752</v>
      </c>
      <c r="B64" s="129" t="s">
        <v>753</v>
      </c>
      <c r="C64" s="129" t="s">
        <v>895</v>
      </c>
      <c r="D64" s="129" t="s">
        <v>877</v>
      </c>
      <c r="E64" s="138" t="s">
        <v>896</v>
      </c>
    </row>
    <row r="65" spans="1:5">
      <c r="A65" s="129" t="s">
        <v>752</v>
      </c>
      <c r="B65" s="129" t="s">
        <v>753</v>
      </c>
      <c r="C65" s="129" t="s">
        <v>897</v>
      </c>
      <c r="D65" s="129" t="s">
        <v>877</v>
      </c>
      <c r="E65" s="138" t="s">
        <v>898</v>
      </c>
    </row>
    <row r="66" spans="1:5">
      <c r="A66" s="129" t="s">
        <v>752</v>
      </c>
      <c r="B66" s="129" t="s">
        <v>753</v>
      </c>
      <c r="C66" s="129" t="s">
        <v>899</v>
      </c>
      <c r="D66" s="129" t="s">
        <v>877</v>
      </c>
      <c r="E66" s="138" t="s">
        <v>900</v>
      </c>
    </row>
    <row r="67" spans="1:5">
      <c r="A67" s="129" t="s">
        <v>752</v>
      </c>
      <c r="B67" s="129" t="s">
        <v>753</v>
      </c>
      <c r="C67" s="129" t="s">
        <v>901</v>
      </c>
      <c r="D67" s="129" t="s">
        <v>877</v>
      </c>
      <c r="E67" s="138" t="s">
        <v>902</v>
      </c>
    </row>
    <row r="68" spans="1:5">
      <c r="A68" s="129" t="s">
        <v>752</v>
      </c>
      <c r="B68" s="129" t="s">
        <v>753</v>
      </c>
      <c r="C68" s="129" t="s">
        <v>903</v>
      </c>
      <c r="D68" s="129" t="s">
        <v>877</v>
      </c>
      <c r="E68" s="138" t="s">
        <v>904</v>
      </c>
    </row>
    <row r="69" spans="1:5">
      <c r="A69" s="129" t="s">
        <v>752</v>
      </c>
      <c r="B69" s="129" t="s">
        <v>753</v>
      </c>
      <c r="C69" s="129" t="s">
        <v>905</v>
      </c>
      <c r="D69" s="129" t="s">
        <v>877</v>
      </c>
      <c r="E69" s="138" t="s">
        <v>906</v>
      </c>
    </row>
    <row r="70" spans="1:5">
      <c r="A70" s="129" t="s">
        <v>742</v>
      </c>
      <c r="B70" s="129" t="s">
        <v>744</v>
      </c>
      <c r="C70" s="129" t="s">
        <v>907</v>
      </c>
      <c r="D70" s="129" t="s">
        <v>908</v>
      </c>
      <c r="E70" s="138" t="s">
        <v>909</v>
      </c>
    </row>
    <row r="71" spans="1:5">
      <c r="A71" s="129" t="s">
        <v>742</v>
      </c>
      <c r="B71" s="129" t="s">
        <v>744</v>
      </c>
      <c r="C71" s="129" t="s">
        <v>910</v>
      </c>
      <c r="D71" s="129" t="s">
        <v>908</v>
      </c>
      <c r="E71" s="138" t="s">
        <v>911</v>
      </c>
    </row>
    <row r="72" spans="1:5">
      <c r="A72" s="129" t="s">
        <v>742</v>
      </c>
      <c r="B72" s="129" t="s">
        <v>744</v>
      </c>
      <c r="C72" s="129" t="s">
        <v>912</v>
      </c>
      <c r="D72" s="129" t="s">
        <v>831</v>
      </c>
      <c r="E72" s="138" t="s">
        <v>913</v>
      </c>
    </row>
    <row r="73" spans="1:5">
      <c r="A73" s="129" t="s">
        <v>742</v>
      </c>
      <c r="B73" s="129" t="s">
        <v>744</v>
      </c>
      <c r="C73" s="129" t="s">
        <v>914</v>
      </c>
      <c r="D73" s="129" t="s">
        <v>908</v>
      </c>
      <c r="E73" s="138" t="s">
        <v>915</v>
      </c>
    </row>
    <row r="74" spans="1:5">
      <c r="A74" s="129" t="s">
        <v>742</v>
      </c>
      <c r="B74" s="129" t="s">
        <v>744</v>
      </c>
      <c r="C74" s="129" t="s">
        <v>916</v>
      </c>
      <c r="D74" s="129" t="s">
        <v>831</v>
      </c>
      <c r="E74" s="138" t="s">
        <v>917</v>
      </c>
    </row>
    <row r="75" spans="1:5">
      <c r="A75" s="129" t="s">
        <v>742</v>
      </c>
      <c r="B75" s="129" t="s">
        <v>744</v>
      </c>
      <c r="C75" s="129" t="s">
        <v>918</v>
      </c>
      <c r="D75" s="129" t="s">
        <v>919</v>
      </c>
      <c r="E75" s="138" t="s">
        <v>920</v>
      </c>
    </row>
    <row r="76" spans="1:5">
      <c r="A76" s="129" t="s">
        <v>742</v>
      </c>
      <c r="B76" s="129" t="s">
        <v>744</v>
      </c>
      <c r="C76" s="129" t="s">
        <v>921</v>
      </c>
      <c r="D76" s="129" t="s">
        <v>919</v>
      </c>
      <c r="E76" s="138" t="s">
        <v>922</v>
      </c>
    </row>
    <row r="77" spans="1:5">
      <c r="A77" s="129" t="s">
        <v>742</v>
      </c>
      <c r="B77" s="129" t="s">
        <v>744</v>
      </c>
      <c r="C77" s="129" t="s">
        <v>923</v>
      </c>
      <c r="D77" s="129" t="s">
        <v>831</v>
      </c>
      <c r="E77" s="138" t="s">
        <v>924</v>
      </c>
    </row>
    <row r="78" spans="1:5">
      <c r="A78" s="129" t="s">
        <v>742</v>
      </c>
      <c r="B78" s="129" t="s">
        <v>744</v>
      </c>
      <c r="C78" s="129" t="s">
        <v>925</v>
      </c>
      <c r="D78" s="129" t="s">
        <v>831</v>
      </c>
      <c r="E78" s="138" t="s">
        <v>926</v>
      </c>
    </row>
    <row r="79" spans="1:5">
      <c r="A79" s="129" t="s">
        <v>742</v>
      </c>
      <c r="B79" s="129" t="s">
        <v>744</v>
      </c>
      <c r="C79" s="129" t="s">
        <v>927</v>
      </c>
      <c r="D79" s="129" t="s">
        <v>908</v>
      </c>
      <c r="E79" s="138" t="s">
        <v>928</v>
      </c>
    </row>
    <row r="80" spans="1:5">
      <c r="A80" s="129" t="s">
        <v>742</v>
      </c>
      <c r="B80" s="129" t="s">
        <v>743</v>
      </c>
      <c r="C80" s="129" t="s">
        <v>929</v>
      </c>
      <c r="D80" s="129" t="s">
        <v>783</v>
      </c>
      <c r="E80" s="138" t="s">
        <v>930</v>
      </c>
    </row>
    <row r="82" spans="1:3">
      <c r="A82" s="129" t="s">
        <v>933</v>
      </c>
    </row>
    <row r="84" spans="1:3">
      <c r="A84" s="128" t="s">
        <v>931</v>
      </c>
      <c r="B84" s="128" t="s">
        <v>932</v>
      </c>
      <c r="C84" s="128" t="s">
        <v>734</v>
      </c>
    </row>
    <row r="85" spans="1:3" ht="37.5">
      <c r="A85" s="139" t="s">
        <v>935</v>
      </c>
      <c r="B85" s="140" t="s">
        <v>752</v>
      </c>
      <c r="C85" s="141" t="s">
        <v>934</v>
      </c>
    </row>
    <row r="86" spans="1:3" ht="37.5">
      <c r="A86" s="139" t="s">
        <v>936</v>
      </c>
      <c r="B86" s="140" t="s">
        <v>938</v>
      </c>
      <c r="C86" s="141" t="s">
        <v>937</v>
      </c>
    </row>
  </sheetData>
  <hyperlinks>
    <hyperlink ref="E2" r:id="rId1" display="https://lginform.local.gov.uk/reports/lgastandard?mod-metric=173" xr:uid="{E6E931BF-FDB7-47CF-8E9F-7119FA423AE1}"/>
    <hyperlink ref="E3" r:id="rId2" display="https://lginform.local.gov.uk/reports/lgastandard?mod-metric=175" xr:uid="{524F630B-B0B9-4024-93CE-56CFA7353903}"/>
    <hyperlink ref="E4" r:id="rId3" display="https://lginform.local.gov.uk/reports/lgastandard?mod-metric=106" xr:uid="{67D24F96-182A-4463-ABBD-7F66FA4FD17D}"/>
    <hyperlink ref="E5" r:id="rId4" display="https://lginform.local.gov.uk/reports/lgastandard?mod-metric=3287" xr:uid="{F2C996DF-228C-4E92-91C5-C979DDCC0313}"/>
    <hyperlink ref="E6" r:id="rId5" display="https://lginform.local.gov.uk/reports/lgastandard?mod-metric=3326" xr:uid="{51F80BA1-05F9-4E05-9351-623E4B3D8F34}"/>
    <hyperlink ref="E7" r:id="rId6" display="https://lginform.local.gov.uk/reports/lgastandard?mod-metric=3281" xr:uid="{DF6CAC65-709A-4872-905F-495BC2FEDF6C}"/>
    <hyperlink ref="E8" r:id="rId7" display="https://lginform.local.gov.uk/reports/lgastandard?mod-metric=95" xr:uid="{D8E70D0A-347B-4527-AC6F-EF2B35E102F6}"/>
    <hyperlink ref="E9" r:id="rId8" display="https://lginform.local.gov.uk/reports/lgastandard?mod-metric=96" xr:uid="{646ECCBA-3F7D-41FB-92F4-47C34B98FEF0}"/>
    <hyperlink ref="E10" r:id="rId9" display="https://lginform.local.gov.uk/reports/lgastandard?mod-metric=3155" xr:uid="{EF40C3B5-D933-4A3C-88E1-DB82C66F618E}"/>
    <hyperlink ref="E11" r:id="rId10" display="https://lginform.local.gov.uk/reports/lgastandard?mod-metric=3156" xr:uid="{E150D321-3F21-4353-A638-D2EDE7461A37}"/>
    <hyperlink ref="E12" r:id="rId11" display="https://lginform.local.gov.uk/reports/lgastandard?mod-metric=24773" xr:uid="{5DCACE39-4EB6-47B9-A415-3605AEABBD59}"/>
    <hyperlink ref="E13" r:id="rId12" display="https://lginform.local.gov.uk/reports/lgastandard?mod-metric=24756" xr:uid="{FB9350AE-7649-4AA5-BFF8-9853761B3C5C}"/>
    <hyperlink ref="E14" r:id="rId13" display="https://lginform.local.gov.uk/reports/lgastandard?mod-metric=3324" xr:uid="{7A820E3F-E506-4F22-AC07-562D03C21AF8}"/>
    <hyperlink ref="E15" r:id="rId14" display="https://lginform.local.gov.uk/reports/lgastandard?mod-metric=3325" xr:uid="{336D4E34-2D82-4D1D-87E8-B218825D9343}"/>
    <hyperlink ref="E16" r:id="rId15" display="https://lginform.local.gov.uk/reports/lgastandard?mod-metric=3323" xr:uid="{490031D0-27CE-4C18-AC3E-D9E6D154F24A}"/>
    <hyperlink ref="E17" r:id="rId16" display="https://lginform.local.gov.uk/reports/lgastandard?mod-metric=3322" xr:uid="{9CC19A46-3CC8-41FF-8E16-A192FCE93113}"/>
    <hyperlink ref="E18" r:id="rId17" display="https://lginform.local.gov.uk/reports/lgastandard?mod-metric=1973" xr:uid="{1B890E42-B4AD-48BE-A828-67ED07CB723E}"/>
    <hyperlink ref="E19" r:id="rId18" display="https://lginform.local.gov.uk/reports/lgastandard?mod-metric=1974" xr:uid="{D14A6EAE-740C-425B-A07A-BD9A0409E7D0}"/>
    <hyperlink ref="E20" r:id="rId19" display="https://lginform.local.gov.uk/reports/lgastandard?mod-metric=1975" xr:uid="{65CA3159-6744-4669-951D-90DEAE6A56B3}"/>
    <hyperlink ref="E21" r:id="rId20" display="https://lginform.local.gov.uk/reports/lgastandard?mod-metric=13100" xr:uid="{40414CD5-00E7-4A86-8407-9545CF1AF591}"/>
    <hyperlink ref="E22" r:id="rId21" display="https://lginform.local.gov.uk/reports/lgastandard?mod-metric=11494" xr:uid="{F135DADC-85CE-41C5-B35F-3DE4A66CDA01}"/>
    <hyperlink ref="E23" r:id="rId22" display="https://lginform.local.gov.uk/reports/lgastandard?mod-metric=11341" xr:uid="{BC39AAA7-5D01-4217-BA1D-1E201F7EBFAF}"/>
    <hyperlink ref="E24" r:id="rId23" display="https://lginform.local.gov.uk/reports/lgastandard?mod-metric=11343" xr:uid="{D64B0C7D-6795-4FFC-BDF0-74E05E9532D2}"/>
    <hyperlink ref="E25" r:id="rId24" display="https://lginform.local.gov.uk/reports/lgastandard?mod-metric=11344" xr:uid="{2F379055-755D-4CAB-A3E3-A2FABE447CC1}"/>
    <hyperlink ref="E26" r:id="rId25" display="https://lginform.local.gov.uk/reports/lgastandard?mod-metric=27414" xr:uid="{550F1B0B-D917-44E2-8E51-CBBA4E17D1AA}"/>
    <hyperlink ref="E27" r:id="rId26" display="https://lginform.local.gov.uk/reports/lgastandard?mod-metric=11349" xr:uid="{6BB1F64A-B08F-4AAF-BE1D-F3F17394E60D}"/>
    <hyperlink ref="E28" r:id="rId27" display="https://lginform.local.gov.uk/reports/lgastandard?mod-metric=11351" xr:uid="{34CF7330-7B40-4F3E-A447-091801CCDEDF}"/>
    <hyperlink ref="E29" r:id="rId28" display="https://lginform.local.gov.uk/reports/lgastandard?mod-metric=11352" xr:uid="{B3BF36EE-0F27-4F47-B8BF-1FB5D3F1AA0E}"/>
    <hyperlink ref="E30" r:id="rId29" display="https://lginform.local.gov.uk/reports/lgastandard?mod-metric=27416" xr:uid="{881A2FA4-46A6-4DAC-B4F9-8688DC2D39C7}"/>
    <hyperlink ref="E31" r:id="rId30" display="https://lginform.local.gov.uk/reports/lgastandard?mod-metric=11312" xr:uid="{97411DA1-ED52-4A87-88AF-9C71178F64F8}"/>
    <hyperlink ref="E32" r:id="rId31" display="https://lginform.local.gov.uk/reports/lgastandard?mod-metric=11313" xr:uid="{032DAFEA-85A3-4FDE-8180-E915C500488D}"/>
    <hyperlink ref="E33" r:id="rId32" display="https://lginform.local.gov.uk/reports/lgastandard?mod-metric=10680" xr:uid="{7EE43C4F-F264-45BC-8AA8-D2EA42193460}"/>
    <hyperlink ref="E34" r:id="rId33" display="https://lginform.local.gov.uk/reports/lgastandard?mod-metric=11369" xr:uid="{4C213C15-5F65-4669-B5C0-B9ABCFF95F29}"/>
    <hyperlink ref="E35" r:id="rId34" display="https://lginform.local.gov.uk/reports/lgastandard?mod-metric=7778" xr:uid="{1EA0EC47-92CA-4EB0-BCA4-454F8C0F99BC}"/>
    <hyperlink ref="E36" r:id="rId35" display="https://lginform.local.gov.uk/reports/lgastandard?mod-metric=7068" xr:uid="{20870644-3EEC-4864-96A2-AD370489BB31}"/>
    <hyperlink ref="E37" r:id="rId36" display="https://lginform.local.gov.uk/reports/lgastandard?mod-metric=11370" xr:uid="{8D0DF158-0FC7-4CAC-8A84-F7A8B68DDB05}"/>
    <hyperlink ref="E38" r:id="rId37" display="https://lginform.local.gov.uk/reports/lgastandard?mod-metric=11371" xr:uid="{D2051538-8B77-4F46-BEEF-CFD9232F1CBE}"/>
    <hyperlink ref="E39" r:id="rId38" display="https://lginform.local.gov.uk/reports/lgastandard?mod-metric=11372" xr:uid="{276B764A-7215-4CA2-B378-33B63966E28C}"/>
    <hyperlink ref="E40" r:id="rId39" display="https://lginform.local.gov.uk/reports/lgastandard?mod-metric=11373" xr:uid="{2EF05F89-FA98-4A0B-9E19-369EC238D2AE}"/>
    <hyperlink ref="E41" r:id="rId40" display="https://lginform.local.gov.uk/reports/lgastandard?mod-metric=24711" xr:uid="{F66350F9-02CD-4BA3-8118-F6DC76C2DDD2}"/>
    <hyperlink ref="E42" r:id="rId41" display="https://lginform.local.gov.uk/reports/lgastandard?mod-metric=11374" xr:uid="{C20FEC93-EFDB-489B-9296-1A6977DE2618}"/>
    <hyperlink ref="E43" r:id="rId42" display="https://lginform.local.gov.uk/reports/lgastandard?mod-metric=6978" xr:uid="{A60EFD0F-ABED-40EC-97CA-5D531EF038B3}"/>
    <hyperlink ref="E44" r:id="rId43" display="https://lginform.local.gov.uk/reports/lgastandard?mod-metric=11375" xr:uid="{8FBCBDC4-DEBC-4FE3-B40F-D5A74303BD87}"/>
    <hyperlink ref="E45" r:id="rId44" display="https://lginform.local.gov.uk/reports/lgastandard?mod-metric=11376" xr:uid="{DB6C61FD-8148-4A16-8B7E-85FF5A2AC0BD}"/>
    <hyperlink ref="E46" r:id="rId45" display="https://lginform.local.gov.uk/reports/lgastandard?mod-metric=11534" xr:uid="{6730CF38-5428-4E99-8DA2-4FC08875B17E}"/>
    <hyperlink ref="E47" r:id="rId46" display="https://lginform.local.gov.uk/reports/lgastandard?mod-metric=11535" xr:uid="{1E1CB5C0-8999-4671-851C-2F7B1BFE3384}"/>
    <hyperlink ref="E48" r:id="rId47" display="https://lginform.local.gov.uk/reports/lgastandard?mod-metric=11530" xr:uid="{EFF08003-8F40-4F60-8AB2-5E333AC894F5}"/>
    <hyperlink ref="E49" r:id="rId48" display="https://lginform.local.gov.uk/reports/lgastandard?mod-metric=11533" xr:uid="{EB2A316E-0DFB-4D92-BAC3-B3910B12EAD7}"/>
    <hyperlink ref="E50" r:id="rId49" display="https://lginform.local.gov.uk/reports/lgastandard?mod-metric=11359" xr:uid="{DA4F3524-BB9B-40DC-B96C-2690C1245D5C}"/>
    <hyperlink ref="E51" r:id="rId50" display="https://lginform.local.gov.uk/reports/lgastandard?mod-metric=11360" xr:uid="{2510FF09-8DF0-4059-B249-596C4D7A5F7C}"/>
    <hyperlink ref="E52" r:id="rId51" display="https://lginform.local.gov.uk/reports/lgastandard?mod-metric=11497" xr:uid="{5BD3CAEC-8ED4-4253-8B95-2187EEF242DA}"/>
    <hyperlink ref="E53" r:id="rId52" display="https://lginform.local.gov.uk/reports/lgastandard?mod-metric=11361" xr:uid="{C133FEDE-1E33-4597-B0FD-3E479DD1D980}"/>
    <hyperlink ref="E54" r:id="rId53" display="https://lginform.local.gov.uk/reports/lgastandard?mod-metric=11362" xr:uid="{56514EE3-34E7-4022-91EF-C36294918AB5}"/>
    <hyperlink ref="E55" r:id="rId54" display="https://lginform.local.gov.uk/reports/lgastandard?mod-metric=19246" xr:uid="{FCEA99A4-BD87-4BA5-A25E-D43FBCE70514}"/>
    <hyperlink ref="E56" r:id="rId55" display="https://lginform.local.gov.uk/reports/lgastandard?mod-metric=22284" xr:uid="{53A8ADEB-AE13-4E07-BF9F-C365E05E1FA2}"/>
    <hyperlink ref="E57" r:id="rId56" display="https://lginform.local.gov.uk/reports/lgastandard?mod-metric=19256" xr:uid="{116FA1F8-6F75-4DF0-8261-81AEF6E966B9}"/>
    <hyperlink ref="E58" r:id="rId57" display="https://lginform.local.gov.uk/reports/lgastandard?mod-metric=22280" xr:uid="{F2C836C1-2ADA-4982-BB49-261A7A15E2FE}"/>
    <hyperlink ref="E59" r:id="rId58" display="https://lginform.local.gov.uk/reports/lgastandard?mod-metric=22281" xr:uid="{CBE07C5A-8C08-42EB-92DC-774C505E619D}"/>
    <hyperlink ref="E60" r:id="rId59" display="https://lginform.local.gov.uk/reports/lgastandard?mod-metric=19282" xr:uid="{172E7E7B-B0AF-4EB0-96D1-B79CFADF37F8}"/>
    <hyperlink ref="E61" r:id="rId60" display="https://lginform.local.gov.uk/reports/lgastandard?mod-metric=19288" xr:uid="{84CB00A4-2D71-4967-8A18-286FAE04B52D}"/>
    <hyperlink ref="E62" r:id="rId61" display="https://lginform.local.gov.uk/reports/lgastandard?mod-metric=19289" xr:uid="{A8FE34E5-567D-4E22-ADDE-A6038EA833D0}"/>
    <hyperlink ref="E63" r:id="rId62" display="https://lginform.local.gov.uk/reports/lgastandard?mod-metric=19204" xr:uid="{3CE4E84E-1792-4E53-A466-4EFC83CB8190}"/>
    <hyperlink ref="E64" r:id="rId63" display="https://lginform.local.gov.uk/reports/lgastandard?mod-metric=19283" xr:uid="{47D274C8-375A-481C-A504-CCAA015A9CF4}"/>
    <hyperlink ref="E65" r:id="rId64" display="https://lginform.local.gov.uk/reports/lgastandard?mod-metric=25578" xr:uid="{73EE52FA-8818-47FA-A97A-F0DFDF2629FD}"/>
    <hyperlink ref="E66" r:id="rId65" display="https://lginform.local.gov.uk/reports/lgastandard?mod-metric=22285" xr:uid="{2CA2DA84-7BCF-4347-8403-48BECC914DCD}"/>
    <hyperlink ref="E67" r:id="rId66" display="https://lginform.local.gov.uk/reports/lgastandard?mod-metric=22286" xr:uid="{C728197C-C191-490C-9D2D-397D9EEBAA3E}"/>
    <hyperlink ref="E68" r:id="rId67" display="https://lginform.local.gov.uk/reports/lgastandard?mod-metric=22288" xr:uid="{6481C2C4-141F-400A-80C4-2EB7AC331C72}"/>
    <hyperlink ref="E69" r:id="rId68" display="https://lginform.local.gov.uk/reports/lgastandard?mod-metric=22287" xr:uid="{57A1BCD0-24E1-4EDC-A76C-E060B6D5BF66}"/>
    <hyperlink ref="E70" r:id="rId69" display="https://lginform.local.gov.uk/reports/lgastandard?mod-metric=10668" xr:uid="{E94DD0BA-BEC5-48E9-A55B-7BA8DE2F30A2}"/>
    <hyperlink ref="E71" r:id="rId70" display="https://lginform.local.gov.uk/reports/lgastandard?mod-metric=27492" xr:uid="{FB40850C-1570-4FF2-9ED9-E3D28466F9FB}"/>
    <hyperlink ref="E72" r:id="rId71" display="https://lginform.local.gov.uk/reports/lgastandard?mod-metric=11107" xr:uid="{3B8FB46B-E1B3-4D7A-8683-57FAB9D62C4B}"/>
    <hyperlink ref="E73" r:id="rId72" display="https://lginform.local.gov.uk/reports/lgastandard?mod-metric=10669" xr:uid="{3A7B2B49-88CC-4F3B-B833-893E3A05AF54}"/>
    <hyperlink ref="E74" r:id="rId73" display="https://lginform.local.gov.uk/reports/lgastandard?mod-metric=11169" xr:uid="{99F40197-7449-46B5-979F-2F74134A1564}"/>
    <hyperlink ref="E75" r:id="rId74" display="https://lginform.local.gov.uk/reports/lgastandard?mod-metric=10671" xr:uid="{B686EF3C-8452-4EEE-9986-4C1545C2C356}"/>
    <hyperlink ref="E76" r:id="rId75" display="https://lginform.local.gov.uk/reports/lgastandard?mod-metric=11168" xr:uid="{741290F3-6FF6-4B1B-A5C4-E546071D8923}"/>
    <hyperlink ref="E77" r:id="rId76" display="https://lginform.local.gov.uk/reports/lgastandard?mod-metric=10689" xr:uid="{326792D4-7D53-4280-B289-89999C7EAB4C}"/>
    <hyperlink ref="E78" r:id="rId77" display="https://lginform.local.gov.uk/reports/lgastandard?mod-metric=11170" xr:uid="{F71D18B8-0E07-4EDB-A2CD-04EEFA7745E5}"/>
    <hyperlink ref="E79" r:id="rId78" display="https://lginform.local.gov.uk/reports/lgastandard?mod-metric=27544" xr:uid="{3FF29F9F-A52F-46F9-901A-EDB066B13CDA}"/>
    <hyperlink ref="E80" r:id="rId79" display="https://lginform.local.gov.uk/reports/lgastandard?mod-metric=11314" xr:uid="{B7D1307E-0BCB-4FF2-B080-56427B32CD09}"/>
    <hyperlink ref="C85" r:id="rId80" display="https://www.skillsforcare.org.uk/news-and-events/news/latest-social-care-sector-and-workforce-data-published" xr:uid="{755F6B7F-05DD-400A-ACDF-23ADF9877B6D}"/>
    <hyperlink ref="C86" r:id="rId81" display="https://www.carersuk.org/press-releases/rising-numbers-of-unpaid-carers-say-they-need-more-support-from-the-nhs/" xr:uid="{D5F72D83-CEB4-4693-B855-1BB08575A798}"/>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68038-4A35-4939-9E08-8F378DBDF711}">
  <sheetPr codeName="Sheet9">
    <tabColor rgb="FFFF0000"/>
  </sheetPr>
  <dimension ref="U2:Y12"/>
  <sheetViews>
    <sheetView workbookViewId="0">
      <selection activeCell="U31" sqref="U31"/>
    </sheetView>
  </sheetViews>
  <sheetFormatPr defaultRowHeight="14.5"/>
  <sheetData>
    <row r="2" spans="21:25">
      <c r="U2" s="1"/>
      <c r="W2" s="2"/>
      <c r="Y2" s="3"/>
    </row>
    <row r="3" spans="21:25">
      <c r="U3" s="4"/>
      <c r="W3" s="5"/>
      <c r="Y3" s="6"/>
    </row>
    <row r="4" spans="21:25">
      <c r="U4" s="7"/>
      <c r="W4" s="8"/>
      <c r="Y4" s="9"/>
    </row>
    <row r="6" spans="21:25">
      <c r="U6" s="10"/>
      <c r="W6" s="11"/>
      <c r="Y6" s="12"/>
    </row>
    <row r="7" spans="21:25">
      <c r="U7" s="13"/>
      <c r="W7" s="14"/>
      <c r="Y7" s="15"/>
    </row>
    <row r="8" spans="21:25">
      <c r="U8" s="16"/>
      <c r="W8" s="17"/>
      <c r="Y8" s="18"/>
    </row>
    <row r="10" spans="21:25">
      <c r="U10" s="19"/>
      <c r="W10" s="20"/>
      <c r="Y10" s="21"/>
    </row>
    <row r="11" spans="21:25">
      <c r="U11" s="22"/>
      <c r="W11" s="23"/>
      <c r="Y11" s="24"/>
    </row>
    <row r="12" spans="21:25">
      <c r="U12" s="25"/>
      <c r="W12" s="26"/>
      <c r="Y12" s="27"/>
    </row>
  </sheetData>
  <pageMargins left="0.25" right="0.25"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7819274-e967-4a7b-b8d5-8ce744e42349" xsi:nil="true"/>
    <lcf76f155ced4ddcb4097134ff3c332f xmlns="7fc6ed47-c81e-4424-b0b5-60eb9bf71a46">
      <Terms xmlns="http://schemas.microsoft.com/office/infopath/2007/PartnerControls"/>
    </lcf76f155ced4ddcb4097134ff3c332f>
    <Document_x0020_type xmlns="7fc6ed47-c81e-4424-b0b5-60eb9bf71a46" xsi:nil="true"/>
    <Notes xmlns="7fc6ed47-c81e-4424-b0b5-60eb9bf71a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2B27B4E7687C498D4C356E84F0E241" ma:contentTypeVersion="19" ma:contentTypeDescription="Create a new document." ma:contentTypeScope="" ma:versionID="8f478f8557f39c7a8f44196c94c4ca94">
  <xsd:schema xmlns:xsd="http://www.w3.org/2001/XMLSchema" xmlns:xs="http://www.w3.org/2001/XMLSchema" xmlns:p="http://schemas.microsoft.com/office/2006/metadata/properties" xmlns:ns2="7fc6ed47-c81e-4424-b0b5-60eb9bf71a46" xmlns:ns3="57819274-e967-4a7b-b8d5-8ce744e42349" targetNamespace="http://schemas.microsoft.com/office/2006/metadata/properties" ma:root="true" ma:fieldsID="7046be196e633464106de4427191e130" ns2:_="" ns3:_="">
    <xsd:import namespace="7fc6ed47-c81e-4424-b0b5-60eb9bf71a46"/>
    <xsd:import namespace="57819274-e967-4a7b-b8d5-8ce744e42349"/>
    <xsd:element name="properties">
      <xsd:complexType>
        <xsd:sequence>
          <xsd:element name="documentManagement">
            <xsd:complexType>
              <xsd:all>
                <xsd:element ref="ns2:Document_x0020_type"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6ed47-c81e-4424-b0b5-60eb9bf71a46" elementFormDefault="qualified">
    <xsd:import namespace="http://schemas.microsoft.com/office/2006/documentManagement/types"/>
    <xsd:import namespace="http://schemas.microsoft.com/office/infopath/2007/PartnerControls"/>
    <xsd:element name="Document_x0020_type" ma:index="8" nillable="true" ma:displayName="Document type" ma:format="Dropdown" ma:internalName="Document_x0020_type">
      <xsd:complexType>
        <xsd:complexContent>
          <xsd:extension base="dms:MultiChoice">
            <xsd:sequence>
              <xsd:element name="Value" maxOccurs="unbounded" minOccurs="0" nillable="true">
                <xsd:simpleType>
                  <xsd:restriction base="dms:Choice">
                    <xsd:enumeration value="Applications"/>
                    <xsd:enumeration value="Commissioning and Procurement"/>
                    <xsd:enumeration value="Communications"/>
                    <xsd:enumeration value="Contract"/>
                    <xsd:enumeration value="Data"/>
                    <xsd:enumeration value="Data tools"/>
                    <xsd:enumeration value="Finance"/>
                    <xsd:enumeration value="Meeting Papers"/>
                    <xsd:enumeration value="Presentation"/>
                    <xsd:enumeration value="Project Management"/>
                    <xsd:enumeration value="Report"/>
                    <xsd:enumeration value="Research and Guidance"/>
                    <xsd:enumeration value="Template"/>
                  </xsd:restriction>
                </xsd:simple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819274-e967-4a7b-b8d5-8ce744e4234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5f4ee84-07a8-43eb-b45e-97ebffd34106}" ma:internalName="TaxCatchAll" ma:showField="CatchAllData" ma:web="57819274-e967-4a7b-b8d5-8ce744e423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F60D10-CC8F-404B-AA3E-B8F6919D657A}">
  <ds:schemaRefs>
    <ds:schemaRef ds:uri="http://schemas.openxmlformats.org/package/2006/metadata/core-properties"/>
    <ds:schemaRef ds:uri="http://www.w3.org/XML/1998/namespace"/>
    <ds:schemaRef ds:uri="http://purl.org/dc/dcmitype/"/>
    <ds:schemaRef ds:uri="http://schemas.microsoft.com/office/2006/documentManagement/types"/>
    <ds:schemaRef ds:uri="57819274-e967-4a7b-b8d5-8ce744e42349"/>
    <ds:schemaRef ds:uri="http://schemas.microsoft.com/office/infopath/2007/PartnerControls"/>
    <ds:schemaRef ds:uri="http://schemas.microsoft.com/office/2006/metadata/properties"/>
    <ds:schemaRef ds:uri="7fc6ed47-c81e-4424-b0b5-60eb9bf71a46"/>
    <ds:schemaRef ds:uri="http://purl.org/dc/terms/"/>
    <ds:schemaRef ds:uri="http://purl.org/dc/elements/1.1/"/>
  </ds:schemaRefs>
</ds:datastoreItem>
</file>

<file path=customXml/itemProps2.xml><?xml version="1.0" encoding="utf-8"?>
<ds:datastoreItem xmlns:ds="http://schemas.openxmlformats.org/officeDocument/2006/customXml" ds:itemID="{142BF560-DC0F-4999-86BD-0821707D9121}">
  <ds:schemaRefs>
    <ds:schemaRef ds:uri="http://schemas.microsoft.com/sharepoint/v3/contenttype/forms"/>
  </ds:schemaRefs>
</ds:datastoreItem>
</file>

<file path=customXml/itemProps3.xml><?xml version="1.0" encoding="utf-8"?>
<ds:datastoreItem xmlns:ds="http://schemas.openxmlformats.org/officeDocument/2006/customXml" ds:itemID="{C83A0478-0643-4C01-A5A8-CF58458CF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6ed47-c81e-4424-b0b5-60eb9bf71a46"/>
    <ds:schemaRef ds:uri="57819274-e967-4a7b-b8d5-8ce744e423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Title Page</vt:lpstr>
      <vt:lpstr>Output</vt:lpstr>
      <vt:lpstr>Audit</vt:lpstr>
      <vt:lpstr>Version History</vt:lpstr>
      <vt:lpstr>PROCESSING -&gt;</vt:lpstr>
      <vt:lpstr>Need</vt:lpstr>
      <vt:lpstr>Care Users</vt:lpstr>
      <vt:lpstr>Finance</vt:lpstr>
      <vt:lpstr>Workforce</vt:lpstr>
      <vt:lpstr>Outcomes</vt:lpstr>
      <vt:lpstr>DATA -&gt;</vt:lpstr>
      <vt:lpstr>Datasheet</vt:lpstr>
      <vt:lpstr>Calculations</vt:lpstr>
      <vt:lpstr>Sources</vt:lpstr>
      <vt:lpstr>Colour Scheme</vt:lpstr>
      <vt:lpstr>Finance!Print_Area</vt:lpstr>
      <vt:lpstr>Output!Print_Area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Swift</dc:creator>
  <cp:keywords/>
  <dc:description/>
  <cp:lastModifiedBy>Sam Swift</cp:lastModifiedBy>
  <cp:revision/>
  <cp:lastPrinted>2026-03-03T16:06:29Z</cp:lastPrinted>
  <dcterms:created xsi:type="dcterms:W3CDTF">2026-02-11T14:32:24Z</dcterms:created>
  <dcterms:modified xsi:type="dcterms:W3CDTF">2026-10-29T13:05:42Z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0x010100A62B27B4E7687C498D4C356E84F0E241</vt:lpwstr>
  </property>
  <property fmtid="{D5CDD505-2E9C-101B-9397-08002B2CF9AE}" pid="3" name="MediaServiceImageTags">
    <vt:lpwstr/>
  </property>
</Properties>
</file>